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hiberniareit-my.sharepoint.com/personal/vfuentes_hiberniareg_com/Documents/ESG Website/"/>
    </mc:Choice>
  </mc:AlternateContent>
  <xr:revisionPtr revIDLastSave="0" documentId="8_{2DD66D08-0D25-48F6-89AF-EB547AC0FB5F}" xr6:coauthVersionLast="47" xr6:coauthVersionMax="47" xr10:uidLastSave="{00000000-0000-0000-0000-000000000000}"/>
  <workbookProtection workbookAlgorithmName="SHA-512" workbookHashValue="s6Lv48WJwftj0/+0Jd3aFr5/Pyok30cAXK2P1MJx2tan3cmGls9KzxoD1JJ43PCS5Fy652Mfl0N1I0T19niWBQ==" workbookSaltValue="CbhqpqXD0q7fnmCcyqjG6g==" workbookSpinCount="100000" lockStructure="1"/>
  <bookViews>
    <workbookView xWindow="-120" yWindow="-120" windowWidth="29040" windowHeight="15720" xr2:uid="{70E833CD-DE54-4C48-9E46-16B09E273303}"/>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s>
  <externalReferences>
    <externalReference r:id="rId13"/>
    <externalReference r:id="rId14"/>
    <externalReference r:id="rId15"/>
    <externalReference r:id="rId16"/>
    <externalReference r:id="rId17"/>
    <externalReference r:id="rId18"/>
  </externalReferences>
  <definedNames>
    <definedName name="CompanyName">'[1]TB Download'!$B:$B</definedName>
    <definedName name="ddd">[2]BalanceSheet!$AD:$AD</definedName>
    <definedName name="dddd">[2]BalanceSheet!$D:$D</definedName>
    <definedName name="ddddd">[2]Control!$C$13</definedName>
    <definedName name="dddddd">[2]BalanceSheet!$AA:$AA</definedName>
    <definedName name="ee">[2]BalanceSheet!$AD:$AD</definedName>
    <definedName name="eee">[2]BalanceSheet!$D:$D</definedName>
    <definedName name="eeee">[2]Control!$C$13</definedName>
    <definedName name="eeeee">[2]BalanceSheet!$AA:$AA</definedName>
    <definedName name="ElectricTotals">'[3]Combined  all'!$E$6:$T$10</definedName>
    <definedName name="GasTotal">'[3]Combined  all'!$Y$6:$AN$10</definedName>
    <definedName name="GetBSGLNo">[4]BalanceSheet!$AA:$AA</definedName>
    <definedName name="GetBSPeriodno">[4]BalanceSheet!$D:$D</definedName>
    <definedName name="GetBSSubCatNo">'[1]TB Download'!$E:$E</definedName>
    <definedName name="GetBSYTF">[4]BalanceSheet!$AD:$AD</definedName>
    <definedName name="GetGLCatNo">'[1]TB Download'!$C:$C</definedName>
    <definedName name="GetYTD">'[5]P+L Download'!$AD:$AD</definedName>
    <definedName name="GetYTDCredit">'[1]TB Download'!$M:$M</definedName>
    <definedName name="GetYTDdEBIT">'[1]TB Download'!$L:$L</definedName>
    <definedName name="GLCode">'[1]TB Download'!$G:$G</definedName>
    <definedName name="ReportingPeriod">[4]Control!$C$13</definedName>
    <definedName name="WasteTotal">'[3]Combined  all'!$BW$6:$CK$22</definedName>
    <definedName name="WaterTotal">'[3]Combined  all'!$BE$6:$BU$10</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2" l="1"/>
  <c r="I50" i="12" s="1"/>
  <c r="G40" i="12"/>
  <c r="I40" i="12" s="1"/>
  <c r="G37" i="12"/>
  <c r="I37" i="12" s="1"/>
  <c r="G35" i="12"/>
  <c r="I35" i="12" s="1"/>
  <c r="G33" i="12"/>
  <c r="I33" i="12" s="1"/>
  <c r="G32" i="12"/>
  <c r="I32" i="12" s="1"/>
  <c r="G31" i="12"/>
  <c r="G30" i="12"/>
  <c r="G29" i="12"/>
  <c r="G28" i="12"/>
  <c r="G27" i="12"/>
  <c r="G26" i="12"/>
  <c r="G25" i="12"/>
  <c r="G24" i="12"/>
  <c r="G23" i="12"/>
  <c r="G22" i="12"/>
  <c r="G21" i="12"/>
  <c r="G20" i="12"/>
  <c r="G19" i="12"/>
  <c r="G18" i="12"/>
  <c r="G17" i="12"/>
  <c r="G16" i="12"/>
  <c r="G15" i="12"/>
  <c r="G14" i="12"/>
  <c r="G13" i="12"/>
  <c r="I13" i="12" s="1"/>
  <c r="G12" i="12"/>
  <c r="I12" i="12" s="1"/>
  <c r="G11" i="12"/>
  <c r="I11" i="12" s="1"/>
  <c r="G10" i="12"/>
  <c r="I10" i="12" s="1"/>
  <c r="F32" i="11"/>
  <c r="D30" i="11"/>
  <c r="F30" i="11" s="1"/>
  <c r="D29" i="11"/>
  <c r="F29" i="11" s="1"/>
  <c r="D28" i="11"/>
  <c r="F28" i="11" s="1"/>
  <c r="F25" i="11"/>
  <c r="F24" i="11"/>
  <c r="F23" i="11"/>
  <c r="F22" i="11"/>
  <c r="D20" i="11"/>
  <c r="F20" i="11" s="1"/>
  <c r="E19" i="11"/>
  <c r="D19" i="11"/>
  <c r="F19" i="11" s="1"/>
  <c r="E11" i="11"/>
  <c r="O32" i="10"/>
  <c r="N32" i="10"/>
  <c r="M32" i="10"/>
  <c r="L32" i="10"/>
  <c r="K32" i="10"/>
  <c r="J32" i="10"/>
  <c r="I32" i="10"/>
  <c r="H32" i="10"/>
  <c r="G32" i="10"/>
  <c r="F32" i="10"/>
  <c r="E32" i="10"/>
  <c r="D32" i="10"/>
  <c r="C32" i="10"/>
  <c r="O31" i="10"/>
  <c r="N31" i="10"/>
  <c r="M31" i="10"/>
  <c r="L31" i="10"/>
  <c r="K31" i="10"/>
  <c r="J31" i="10"/>
  <c r="I31" i="10"/>
  <c r="H31" i="10"/>
  <c r="G31" i="10"/>
  <c r="F31" i="10"/>
  <c r="E31" i="10"/>
  <c r="D31" i="10"/>
  <c r="D27" i="11" s="1"/>
  <c r="F27" i="11" s="1"/>
  <c r="C31" i="10"/>
  <c r="O27" i="10"/>
  <c r="N27" i="10"/>
  <c r="M27" i="10"/>
  <c r="L27" i="10"/>
  <c r="K27" i="10"/>
  <c r="J27" i="10"/>
  <c r="I27" i="10"/>
  <c r="H27" i="10"/>
  <c r="G27" i="10"/>
  <c r="F27" i="10"/>
  <c r="E27" i="10"/>
  <c r="D27" i="10"/>
  <c r="C27" i="10"/>
  <c r="O26" i="10"/>
  <c r="N26" i="10"/>
  <c r="M26" i="10"/>
  <c r="L26" i="10"/>
  <c r="K26" i="10"/>
  <c r="J26" i="10"/>
  <c r="I26" i="10"/>
  <c r="H26" i="10"/>
  <c r="G26" i="10"/>
  <c r="F26" i="10"/>
  <c r="E26" i="10"/>
  <c r="D26" i="10"/>
  <c r="C26" i="10"/>
  <c r="M22" i="10"/>
  <c r="O22" i="10" s="1"/>
  <c r="O21" i="10"/>
  <c r="M21" i="10"/>
  <c r="M20" i="10"/>
  <c r="O20" i="10" s="1"/>
  <c r="M17" i="10"/>
  <c r="L17" i="10"/>
  <c r="O17" i="10" s="1"/>
  <c r="M16" i="10"/>
  <c r="L16" i="10"/>
  <c r="O16" i="10" s="1"/>
  <c r="M15" i="10"/>
  <c r="L15" i="10"/>
  <c r="O15" i="10" s="1"/>
  <c r="M12" i="10"/>
  <c r="L12" i="10"/>
  <c r="O12" i="10" s="1"/>
  <c r="M11" i="10"/>
  <c r="L11" i="10"/>
  <c r="O10" i="10"/>
  <c r="M10" i="10"/>
  <c r="L10" i="10"/>
  <c r="G25" i="9"/>
  <c r="E25" i="9"/>
  <c r="D17" i="11" s="1"/>
  <c r="F17" i="11" s="1"/>
  <c r="G23" i="9"/>
  <c r="G22" i="9"/>
  <c r="G20" i="9"/>
  <c r="G19" i="9"/>
  <c r="G17" i="9"/>
  <c r="G29" i="8"/>
  <c r="F29" i="8"/>
  <c r="H29" i="8" s="1"/>
  <c r="G28" i="8"/>
  <c r="H27" i="8"/>
  <c r="G27" i="8"/>
  <c r="G26" i="8"/>
  <c r="F26" i="8"/>
  <c r="H26" i="8" s="1"/>
  <c r="F25" i="8"/>
  <c r="H25" i="8" s="1"/>
  <c r="F24" i="8"/>
  <c r="H24" i="8" s="1"/>
  <c r="H23" i="8"/>
  <c r="F23" i="8"/>
  <c r="F27" i="8" s="1"/>
  <c r="H22" i="8"/>
  <c r="F22" i="8"/>
  <c r="F19" i="8"/>
  <c r="F21" i="8" s="1"/>
  <c r="H21" i="8" s="1"/>
  <c r="G17" i="8"/>
  <c r="G18" i="8" s="1"/>
  <c r="G16" i="8"/>
  <c r="F13" i="8"/>
  <c r="H12" i="8"/>
  <c r="F12" i="8"/>
  <c r="H11" i="8"/>
  <c r="F10" i="8"/>
  <c r="F17" i="8" s="1"/>
  <c r="F19" i="7"/>
  <c r="F15" i="7"/>
  <c r="F18" i="7" s="1"/>
  <c r="J18" i="7" s="1"/>
  <c r="F14" i="7"/>
  <c r="H13" i="7"/>
  <c r="H14" i="7" s="1"/>
  <c r="F10" i="7"/>
  <c r="F13" i="7" s="1"/>
  <c r="F36" i="6"/>
  <c r="J36" i="6" s="1"/>
  <c r="F35" i="6"/>
  <c r="J35" i="6" s="1"/>
  <c r="F33" i="6"/>
  <c r="F34" i="6" s="1"/>
  <c r="J34" i="6" s="1"/>
  <c r="F29" i="6"/>
  <c r="F27" i="6"/>
  <c r="F28" i="6" s="1"/>
  <c r="J28" i="6" s="1"/>
  <c r="F26" i="6"/>
  <c r="J26" i="6" s="1"/>
  <c r="H24" i="6"/>
  <c r="F24" i="6"/>
  <c r="J24" i="6" s="1"/>
  <c r="H20" i="6"/>
  <c r="F20" i="6"/>
  <c r="J20" i="6" s="1"/>
  <c r="H19" i="6"/>
  <c r="F19" i="6"/>
  <c r="J19" i="6" s="1"/>
  <c r="J17" i="6"/>
  <c r="F17" i="6"/>
  <c r="F16" i="6"/>
  <c r="J16" i="6" s="1"/>
  <c r="H15" i="6"/>
  <c r="F15" i="6"/>
  <c r="J15" i="6" s="1"/>
  <c r="H14" i="6"/>
  <c r="F14" i="6"/>
  <c r="J14" i="6" s="1"/>
  <c r="F13" i="6"/>
  <c r="J13" i="6" s="1"/>
  <c r="J12" i="6"/>
  <c r="F12" i="6"/>
  <c r="J11" i="6"/>
  <c r="H10" i="6"/>
  <c r="H18" i="6" s="1"/>
  <c r="F10" i="6"/>
  <c r="F32" i="5"/>
  <c r="J32" i="5" s="1"/>
  <c r="F31" i="5"/>
  <c r="J31" i="5" s="1"/>
  <c r="F30" i="5"/>
  <c r="J30" i="5" s="1"/>
  <c r="J29" i="5"/>
  <c r="F29" i="5"/>
  <c r="F27" i="5"/>
  <c r="J27" i="5" s="1"/>
  <c r="F26" i="5"/>
  <c r="J26" i="5" s="1"/>
  <c r="F25" i="5"/>
  <c r="F28" i="5" s="1"/>
  <c r="J28" i="5" s="1"/>
  <c r="F24" i="5"/>
  <c r="J24" i="5" s="1"/>
  <c r="J23" i="5"/>
  <c r="F23" i="5"/>
  <c r="F22" i="5"/>
  <c r="F16" i="4" s="1"/>
  <c r="H20" i="5"/>
  <c r="F20" i="5"/>
  <c r="F15" i="4" s="1"/>
  <c r="H18" i="5"/>
  <c r="F15" i="5"/>
  <c r="J15" i="5" s="1"/>
  <c r="F14" i="5"/>
  <c r="J14" i="5" s="1"/>
  <c r="F11" i="5"/>
  <c r="J11" i="5" s="1"/>
  <c r="F10" i="5"/>
  <c r="F13" i="5" s="1"/>
  <c r="J13" i="5" s="1"/>
  <c r="F18" i="4"/>
  <c r="F17" i="4"/>
  <c r="H17" i="4" s="1"/>
  <c r="H16" i="4"/>
  <c r="G14" i="4"/>
  <c r="F11" i="9" s="1"/>
  <c r="F12" i="4"/>
  <c r="D13" i="11" s="1"/>
  <c r="F13" i="11" s="1"/>
  <c r="J13" i="7" l="1"/>
  <c r="F32" i="6"/>
  <c r="J32" i="6" s="1"/>
  <c r="F31" i="6"/>
  <c r="J31" i="6" s="1"/>
  <c r="D21" i="11"/>
  <c r="F21" i="11" s="1"/>
  <c r="F19" i="4"/>
  <c r="H19" i="4" s="1"/>
  <c r="J29" i="6"/>
  <c r="H12" i="4"/>
  <c r="F18" i="6"/>
  <c r="J18" i="6" s="1"/>
  <c r="F22" i="6"/>
  <c r="J10" i="6"/>
  <c r="D14" i="11"/>
  <c r="F14" i="11" s="1"/>
  <c r="E12" i="9"/>
  <c r="F15" i="8"/>
  <c r="H15" i="8" s="1"/>
  <c r="F14" i="8"/>
  <c r="H14" i="8" s="1"/>
  <c r="F16" i="8"/>
  <c r="D26" i="11"/>
  <c r="F26" i="11" s="1"/>
  <c r="O11" i="10"/>
  <c r="G15" i="4"/>
  <c r="F12" i="9" s="1"/>
  <c r="J14" i="7"/>
  <c r="H13" i="8"/>
  <c r="J20" i="5"/>
  <c r="H18" i="4"/>
  <c r="F30" i="6"/>
  <c r="J30" i="6" s="1"/>
  <c r="H21" i="5"/>
  <c r="E16" i="11" s="1"/>
  <c r="H17" i="8"/>
  <c r="F21" i="7"/>
  <c r="J21" i="7" s="1"/>
  <c r="F22" i="7"/>
  <c r="J22" i="7" s="1"/>
  <c r="F23" i="6"/>
  <c r="J19" i="7"/>
  <c r="F28" i="8"/>
  <c r="H28" i="8" s="1"/>
  <c r="F18" i="5"/>
  <c r="F16" i="5"/>
  <c r="H23" i="6"/>
  <c r="F20" i="7"/>
  <c r="J20" i="7" s="1"/>
  <c r="F13" i="4"/>
  <c r="H13" i="4" s="1"/>
  <c r="J25" i="5"/>
  <c r="J10" i="7"/>
  <c r="J15" i="7"/>
  <c r="H19" i="8"/>
  <c r="F11" i="7"/>
  <c r="F16" i="7"/>
  <c r="J16" i="7" s="1"/>
  <c r="F20" i="8"/>
  <c r="H20" i="8" s="1"/>
  <c r="J10" i="5"/>
  <c r="H22" i="6"/>
  <c r="H25" i="6" s="1"/>
  <c r="F17" i="5"/>
  <c r="J17" i="5" s="1"/>
  <c r="J22" i="5"/>
  <c r="F10" i="4"/>
  <c r="F17" i="7"/>
  <c r="J17" i="7" s="1"/>
  <c r="J27" i="6"/>
  <c r="J33" i="6"/>
  <c r="H10" i="8"/>
  <c r="J16" i="5" l="1"/>
  <c r="D15" i="11"/>
  <c r="F15" i="11" s="1"/>
  <c r="J22" i="6"/>
  <c r="F25" i="6"/>
  <c r="J25" i="6" s="1"/>
  <c r="J18" i="5"/>
  <c r="F14" i="4"/>
  <c r="F21" i="5"/>
  <c r="F12" i="7"/>
  <c r="J12" i="7" s="1"/>
  <c r="J11" i="7"/>
  <c r="J23" i="6"/>
  <c r="H15" i="4"/>
  <c r="H16" i="8"/>
  <c r="F18" i="8"/>
  <c r="H18" i="8" s="1"/>
  <c r="F11" i="4"/>
  <c r="H11" i="4" s="1"/>
  <c r="H10" i="4"/>
  <c r="D10" i="11"/>
  <c r="G12" i="9"/>
  <c r="D16" i="11" l="1"/>
  <c r="F16" i="11" s="1"/>
  <c r="J21" i="5"/>
  <c r="E11" i="9"/>
  <c r="H14" i="4"/>
  <c r="F10" i="11"/>
  <c r="D11" i="11"/>
  <c r="D12" i="11" l="1"/>
  <c r="F12" i="11" s="1"/>
  <c r="F11" i="11"/>
  <c r="G11" i="9"/>
  <c r="E14" i="9"/>
  <c r="E27" i="9" l="1"/>
  <c r="G14" i="9"/>
  <c r="G27" i="9" l="1"/>
  <c r="D18" i="11"/>
  <c r="F18" i="11" s="1"/>
</calcChain>
</file>

<file path=xl/sharedStrings.xml><?xml version="1.0" encoding="utf-8"?>
<sst xmlns="http://schemas.openxmlformats.org/spreadsheetml/2006/main" count="939" uniqueCount="389">
  <si>
    <t>ESG 2023 Databook</t>
  </si>
  <si>
    <t>Contents</t>
  </si>
  <si>
    <t>Summary</t>
  </si>
  <si>
    <t>Basis of reporting</t>
  </si>
  <si>
    <t>Managed office and residential portfolio - landlord controlled</t>
  </si>
  <si>
    <t>Managed office portfolio - landlord controlled</t>
  </si>
  <si>
    <t>Managed offices - whole building (landlord and occupier)</t>
  </si>
  <si>
    <t>Residential - landlord controlled</t>
  </si>
  <si>
    <t>Corporate office</t>
  </si>
  <si>
    <t>Greenhouse gas emissions summary</t>
  </si>
  <si>
    <t>Building certifications</t>
  </si>
  <si>
    <t>TCFD metrics</t>
  </si>
  <si>
    <t>Social and Governance</t>
  </si>
  <si>
    <t>The following is a summary of our environmental, social and governance performance for the calendar year ended 31 December 2023, followed by the basis of reporting overview (page 3) and the performance metrics (sheets 4 to 12).</t>
  </si>
  <si>
    <t>Further information can be found in our ESG Progress Report 2024 at the below link.</t>
  </si>
  <si>
    <t>www.hiberniareg.com/esg/esg-reporting</t>
  </si>
  <si>
    <t>Narrative on performance – environmental data</t>
  </si>
  <si>
    <r>
      <rPr>
        <b/>
        <u/>
        <sz val="11"/>
        <color rgb="FF000000"/>
        <rFont val="Aptos Narrow"/>
        <family val="2"/>
        <scheme val="minor"/>
      </rPr>
      <t xml:space="preserve">Energy
</t>
    </r>
    <r>
      <rPr>
        <sz val="11"/>
        <color rgb="FF000000"/>
        <rFont val="Aptos Narrow"/>
        <family val="2"/>
        <scheme val="minor"/>
      </rPr>
      <t xml:space="preserve">
Between 2022 and 2023, Landlord electricity consumption decreased across our managed office portfolio by 4% on an absolute and a like-for-like basis. Landlord and Occupier combined electricity consumption decreased 8% on an absolute and a like-for-like basis over the same period. 
Other fuels consumption decreased by 10% on an absolute and a like-for-like basis between 2022 and 2023.
The decrease in electricity can be primarily attributed to a cooler summer period resulting in lower cooling demand versus 2022.
Two assets, 1 Windmill Lane and 1 Cumberland Place now operating on optimised demand control system - Symphony - reducing chiller and boiler demand. 
New mechanial plant and equipment and building management systems also operational for first year in Central Quay and Observatory building, resulting in lower gas and electricity usage.    
In 2023 we generated 50 mWh of renewable solar electricity through on-site generation at 1 Windmill Lane and the newly installed Central Quay. 
The Harcourt offices became fully vacant at the end of 2022 and are not included in the like-for like data as they are awaiting re-development. 
Overall, there has been a 9% decrease in whole building energy intensity of our managed office portfolio between 2022 and 2023. 
In our residential portfolio, absolute and like-for-like electricity consumption and building energy intensity increased by 11%. 
We have investigated the reasons for this increase but have found no significant anomalies and it is likely that seasonal differences between years are the cause.</t>
    </r>
  </si>
  <si>
    <r>
      <rPr>
        <b/>
        <u/>
        <sz val="11"/>
        <color theme="1"/>
        <rFont val="Aptos Narrow"/>
        <family val="2"/>
        <scheme val="minor"/>
      </rPr>
      <t xml:space="preserve">Greenhouse Gas Emissions
</t>
    </r>
    <r>
      <rPr>
        <sz val="11"/>
        <color theme="1"/>
        <rFont val="Aptos Narrow"/>
        <family val="2"/>
        <scheme val="minor"/>
      </rPr>
      <t xml:space="preserve">
We saw a decrease in our combined absolute Scope 1 and 2 GHG emissions of 8% across our managed office portfolio in 2023. 
Direct GHG emissions were down 10% year-on-year and indirect GHG emissions were down 5% year-on-year. 
As with the decrease in energy consumption, these reductions were heavily influenced by the lower cooling demand due to lower summer temperatures in 2023 versus 2022, as well as further optimisation of heating and cooling systems in four buildings.</t>
    </r>
  </si>
  <si>
    <r>
      <rPr>
        <b/>
        <u/>
        <sz val="11"/>
        <rFont val="Aptos Narrow"/>
        <family val="2"/>
        <scheme val="minor"/>
      </rPr>
      <t xml:space="preserve">Water
</t>
    </r>
    <r>
      <rPr>
        <sz val="11"/>
        <rFont val="Aptos Narrow"/>
        <family val="2"/>
        <scheme val="minor"/>
      </rPr>
      <t xml:space="preserve">
Like-for-like water consumption across our office portfolio increased by 23%. Most of this can be attributed to the increase in occupancy in the buildings in 2023 versus 2022 and more accurate measurement of water data in certain buildings where previously only estimated bills were being received.
No landlord metered water is consumed across our residential portfolio so these performance measures are not reported.</t>
    </r>
  </si>
  <si>
    <r>
      <rPr>
        <b/>
        <u/>
        <sz val="11"/>
        <color rgb="FF000000"/>
        <rFont val="Aptos Narrow"/>
        <family val="2"/>
        <scheme val="minor"/>
      </rPr>
      <t xml:space="preserve">Waste
</t>
    </r>
    <r>
      <rPr>
        <sz val="11"/>
        <color rgb="FF000000"/>
        <rFont val="Aptos Narrow"/>
        <family val="2"/>
        <scheme val="minor"/>
      </rPr>
      <t xml:space="preserve">
The total weight of waste generated by our managed office portfolio stayed the same on an absolute and a like-for-like basis in 2023. 65% of waste was either recycled or composted, a decrease from 71% in 2022. Compost waste reduced 5% and we have commenced a waste camapign concentrating on compostable waste with our occupiers in our buildings in 2024. 
The remainder of the waste was recovered as electricity through incineration. 
No waste was sent to landfill. 
In our residential portfolio, absolute and like-for-like waste decreased by 2%. 39% of waste was recycled or composted, a decrease from 40% in 2022.</t>
    </r>
  </si>
  <si>
    <r>
      <rPr>
        <b/>
        <u/>
        <sz val="11"/>
        <color rgb="FF000000"/>
        <rFont val="Aptos Narrow"/>
        <family val="2"/>
        <scheme val="minor"/>
      </rPr>
      <t xml:space="preserve">Certificates
</t>
    </r>
    <r>
      <rPr>
        <sz val="11"/>
        <color rgb="FF000000"/>
        <rFont val="Aptos Narrow"/>
        <family val="2"/>
        <scheme val="minor"/>
      </rPr>
      <t xml:space="preserve">
100% of assets are BER accredited. 
Three assets are LEED Platinum certified (1 Cumberland Place, 2 Cumberland Place and 1SJRQ) and two buildings are LEED Gold certified (1WML and 2WML). 
One asset is LEED O+M Gold certified (1 Cumberland Place).
Our pipeline project The Clanwilliam Quarter will be registered for LEED Platinum and WELL Platinum certifications.
Our on-site project, Harcourt Square is registered for LEED Platinum and WELL Platinum certifications. </t>
    </r>
  </si>
  <si>
    <t>Narrative on performance – social and governance data</t>
  </si>
  <si>
    <r>
      <rPr>
        <b/>
        <u/>
        <sz val="11"/>
        <rFont val="Aptos Narrow"/>
        <family val="2"/>
        <scheme val="minor"/>
      </rPr>
      <t xml:space="preserve">Employee diversity and turnover
</t>
    </r>
    <r>
      <rPr>
        <sz val="11"/>
        <rFont val="Aptos Narrow"/>
        <family val="2"/>
        <scheme val="minor"/>
      </rPr>
      <t xml:space="preserve">
In 2023, we recorded a new hire rate of 10% (two female employees and one male employee) which was offset by a turnover rate of 26% (two female employees and six male employee). As a consequence, the proportion of female to male employees increased from 34% in 2022 to 39% in 2023. 
The proportion of female to male employees at all senior levels was 22% in 2023, up from 13% in 2022. 
Our Remuneration Policy ensures that all employees are fairly and competitively rewarded based on their performance against personal and Group objectives, and in line with the marketplace. The Group’s gender pay ratio of 150% is explained by seniority and individual performance only.</t>
    </r>
  </si>
  <si>
    <r>
      <rPr>
        <b/>
        <u/>
        <sz val="11"/>
        <color rgb="FF000000"/>
        <rFont val="Aptos Narrow"/>
        <family val="2"/>
        <scheme val="minor"/>
      </rPr>
      <t xml:space="preserve">Employee training and development
</t>
    </r>
    <r>
      <rPr>
        <sz val="11"/>
        <color rgb="FF000000"/>
        <rFont val="Aptos Narrow"/>
        <family val="2"/>
        <scheme val="minor"/>
      </rPr>
      <t xml:space="preserve">
Developing our employees is included as part of Transforming Dublin Responsibly. During 2023, employees received on average 35 hours of training, up from 20 hours in 2022. Topics covered mental health, real estate markets, IT skills, cyber security, anti-bribery and corruption, stranding assets, health and safety and waste management. Furthermore, 84% of employees receive a regular career development and performance review as part of our Remuneration Policy (new starters who joined during 2023 did not receive a review in the reporting year). </t>
    </r>
  </si>
  <si>
    <r>
      <rPr>
        <b/>
        <u/>
        <sz val="11"/>
        <rFont val="Aptos Narrow"/>
        <family val="2"/>
        <scheme val="minor"/>
      </rPr>
      <t xml:space="preserve">Health and safety 
</t>
    </r>
    <r>
      <rPr>
        <sz val="11"/>
        <rFont val="Aptos Narrow"/>
        <family val="2"/>
        <scheme val="minor"/>
      </rPr>
      <t xml:space="preserve">
During the year we recorded no reportable injuries, meaning our injury rate and lost day rate were both zero. We do not currently collate information on days absence due to illness and non-reportable injuries. 
We maintained our certification to the ISO 45001 Occupational Health and Safety Management System standard and re-certified all managed offices to the WELL Health Safety Rating.
Hibernia conducts an annual assessment of its assets and has implemented a formal Health and Safety Policy to protect building users. Health and safety impact assessments were conducted at each of our managed buildings by an external consultant in 2023 as part of the ISO 45001 certification process. Assessments by health and safety inspectors are generally conducted following a reportable incident. No such incidents were reported in 2023.</t>
    </r>
  </si>
  <si>
    <r>
      <rPr>
        <b/>
        <u/>
        <sz val="11"/>
        <rFont val="Aptos Narrow"/>
        <family val="2"/>
        <scheme val="minor"/>
      </rPr>
      <t xml:space="preserve">Community engagement 
</t>
    </r>
    <r>
      <rPr>
        <sz val="11"/>
        <rFont val="Aptos Narrow"/>
        <family val="2"/>
        <scheme val="minor"/>
      </rPr>
      <t xml:space="preserve">
Our Community Engagement Charter sets out our commitment to have a positive social impact on the communities in which we operate. We do not have a formal asset-level community engagement programme; instead our community programme is conducted on a corporate basis and includes engagement with local schools, community centres and other community organisations, predominantly around our Windmill Quarter. This programme is currently run by our  Sustainability Department, with assistance from the building management and asset management teams. 
</t>
    </r>
  </si>
  <si>
    <r>
      <rPr>
        <b/>
        <u/>
        <sz val="11"/>
        <color theme="1"/>
        <rFont val="Aptos Narrow"/>
        <family val="2"/>
        <scheme val="minor"/>
      </rPr>
      <t xml:space="preserve">Governance
</t>
    </r>
    <r>
      <rPr>
        <sz val="11"/>
        <color theme="1"/>
        <rFont val="Aptos Narrow"/>
        <family val="2"/>
        <scheme val="minor"/>
      </rPr>
      <t xml:space="preserve">
For more information, please see the Governance section of our website. </t>
    </r>
  </si>
  <si>
    <t>www.hiberniareg.com/esg/governance</t>
  </si>
  <si>
    <t>Introduction</t>
  </si>
  <si>
    <t xml:space="preserve">Hibernia is committed to transparent reporting on its non-financial data in line with the GRI standards.
The following is a summary of data collection methodology that form the basis of our KPI reporting prepared for our annual ESG reporting and assurance, GRESB and CDP disclosures, and our ESG performance management internally.  </t>
  </si>
  <si>
    <t>Reporting period</t>
  </si>
  <si>
    <t>We provide two years of performance data covering the 2022 and 2023 calendar years for all performance metrics.</t>
  </si>
  <si>
    <t>Materiality</t>
  </si>
  <si>
    <t>We report on all ESG performance measures that we are responsible for across our portfolio and include coverage on social and governance measures. In March 2022, we carried out a materiality assessment with key stakeholders to further define our materiality issues. See below link for more information on our materiality issues and process.</t>
  </si>
  <si>
    <t>www.hiberniareg.com/sustainability/esg/transforming-dublin-responsibly</t>
  </si>
  <si>
    <t>Third-party verification</t>
  </si>
  <si>
    <r>
      <rPr>
        <sz val="11"/>
        <color rgb="FF000000"/>
        <rFont val="Aptos Narrow"/>
        <family val="2"/>
        <scheme val="minor"/>
      </rPr>
      <t>JLL Upst</t>
    </r>
    <r>
      <rPr>
        <sz val="11"/>
        <color theme="1"/>
        <rFont val="Aptos Narrow"/>
        <family val="2"/>
        <scheme val="minor"/>
      </rPr>
      <t xml:space="preserve">ream Sustainability Services has assured this data in line with the ISAE 3000 standard. JLL’s assurance statement can be found at the below link. </t>
    </r>
  </si>
  <si>
    <t xml:space="preserve">www.hiberniareg.com/esg/esg-reporting </t>
  </si>
  <si>
    <t>Organisational boundaries</t>
  </si>
  <si>
    <t xml:space="preserve">We use the operational control approach for our energy, water and waste data boundary for our office and residential assets. 
</t>
  </si>
  <si>
    <t>Coverage</t>
  </si>
  <si>
    <t xml:space="preserve">We report on all properties within the organisational boundary defined above and for which we are responsible for utilities consumption (see Boundaries – reporting on landlord and occupier consumption, below). In 2023, this included 9 office assets and 293 apartments located over two buildings. 
For the first time we have included occupier energy for the 9 managed offices to make up whole building energy usage.
Data for our own office covers Hibernia’s headquarters at 1WML.
GHG Emissions data is provided for the entire portfolio. </t>
  </si>
  <si>
    <t>Like for Like</t>
  </si>
  <si>
    <t xml:space="preserve">We report data for cetain metrics on a like for like basis i.e. data for assets owned and operated in both the current and previous reporting years.  </t>
  </si>
  <si>
    <t>Estimation of landlord-obtained utility consumption</t>
  </si>
  <si>
    <t>All energy consumption data is based on real-time meter readings and invoices where applicable. Less than 1% of data (for electricity and gas usage) is estimated. 
Water consumption is based on real-time meter readings and invoices. Less than 3% of data (for water usage) is estimated.
Waste data is provided by Panda for our office buildings and Key Waste for our residential buildings. No waste data is estimated.</t>
  </si>
  <si>
    <t>Estimation of occupier-obtained utility consumption</t>
  </si>
  <si>
    <t xml:space="preserve">All occupier energy consumption data is based on real-time meter readings and invoices where applicable. Less than 1% of data (for electricity and gas usage) is estimated. </t>
  </si>
  <si>
    <t>Boundaries – reporting on landlord and occupier consumption</t>
  </si>
  <si>
    <t>The consumption reported includes utilities (energy and water) that we purchase as landlord. Occupier electricity use data only is included. 
There is no landlord-obtained water or gas data for our residential portfolio as consumption is the responsibility of individual occupiers. 
Waste data covers occupier and landlord waste as we are responsible for waste contracts.</t>
  </si>
  <si>
    <t>Analysis – normalisation</t>
  </si>
  <si>
    <r>
      <t>Intensity indicators for our managed office portfolio are calculated using floor area (m</t>
    </r>
    <r>
      <rPr>
        <vertAlign val="superscript"/>
        <sz val="11"/>
        <color rgb="FF000000"/>
        <rFont val="Aptos Narrow"/>
        <family val="2"/>
        <scheme val="minor"/>
      </rPr>
      <t>2</t>
    </r>
    <r>
      <rPr>
        <sz val="11"/>
        <color rgb="FF000000"/>
        <rFont val="Aptos Narrow"/>
        <family val="2"/>
        <scheme val="minor"/>
      </rPr>
      <t>) for whole buildings (excluding basements). 
Intensity indicators for our residential portfolio are calculated using the number of apartments as we do not have floor area (m</t>
    </r>
    <r>
      <rPr>
        <vertAlign val="superscript"/>
        <sz val="11"/>
        <color rgb="FF000000"/>
        <rFont val="Aptos Narrow"/>
        <family val="2"/>
        <scheme val="minor"/>
      </rPr>
      <t>2</t>
    </r>
    <r>
      <rPr>
        <sz val="11"/>
        <color rgb="FF000000"/>
        <rFont val="Aptos Narrow"/>
        <family val="2"/>
        <scheme val="minor"/>
      </rPr>
      <t>) for the landlord spaces. 
For our own offices, we report intensity performance measures using the floor area we occupy within the building.</t>
    </r>
  </si>
  <si>
    <t>Analysis – by property type and geography</t>
  </si>
  <si>
    <r>
      <rPr>
        <sz val="11"/>
        <color rgb="FF000000"/>
        <rFont val="Aptos Narrow"/>
        <family val="2"/>
        <scheme val="minor"/>
      </rPr>
      <t>Our office portfolio a</t>
    </r>
    <r>
      <rPr>
        <sz val="11"/>
        <color theme="1"/>
        <rFont val="Aptos Narrow"/>
        <family val="2"/>
        <scheme val="minor"/>
      </rPr>
      <t>ccounts for 72%</t>
    </r>
    <r>
      <rPr>
        <sz val="11"/>
        <color rgb="FF000000"/>
        <rFont val="Aptos Narrow"/>
        <family val="2"/>
        <scheme val="minor"/>
      </rPr>
      <t xml:space="preserve"> of our total portfolio by value, all of which is located in Dublin city centre.
Our residential portfolio accounts for 22</t>
    </r>
    <r>
      <rPr>
        <sz val="11"/>
        <color theme="1"/>
        <rFont val="Aptos Narrow"/>
        <family val="2"/>
        <scheme val="minor"/>
      </rPr>
      <t>% of our total portfolio by value, all of which is located in South Dublin. 
The rest of the portfolio, consisting of industrial units and land h</t>
    </r>
    <r>
      <rPr>
        <sz val="11"/>
        <color rgb="FF000000"/>
        <rFont val="Aptos Narrow"/>
        <family val="2"/>
        <scheme val="minor"/>
      </rPr>
      <t>eld for development, is excluded as it is not directly managed and is not considered material in relation to our other asset types.</t>
    </r>
  </si>
  <si>
    <t>Disclosure on own offices</t>
  </si>
  <si>
    <t>Utilities consumption at our own occupied offices is reported separately to our portfolio. Our offices cover part of one floor of a multi-let building that we occupy as our headquarters – please see the table on sheet 8. 
Our own office has a designated electricity utility meter. Gas, water and waste usage data is calculated based on percentage of floor area for the whole building for the entire year.</t>
  </si>
  <si>
    <t>Energy</t>
  </si>
  <si>
    <t xml:space="preserve">We report on total energy (electricity and gas) required to operate our managed office portfolio at the whole building level (both landlord and occupier spaces) as per GRESB reporting requirements  (includes electrical energy generated from onsite renewables).
- Landlord Elec and Gas - Obtained from a mixture of AMR and BMS data extracted by CoolPlanet
- Occupier Elec and Gas - Obtained through mixture of AMR and BMS data and via email correspondence from occupier directly (source invoices)
- Onsite renewables - Data from solar pv panels obtained from either BMS or from Fronius solar dashboard.
- Estimations only applied to fill gaps in data (missing hours, days or weeks) - not where an entire year of data is missing.
For residential assets we report on electricity usage only for Landlord areas.
</t>
  </si>
  <si>
    <t>Energy use intensity</t>
  </si>
  <si>
    <r>
      <t>Energy use intensity per m</t>
    </r>
    <r>
      <rPr>
        <vertAlign val="superscript"/>
        <sz val="11"/>
        <color theme="1"/>
        <rFont val="Aptos Narrow"/>
        <family val="2"/>
        <scheme val="minor"/>
      </rPr>
      <t xml:space="preserve">2 </t>
    </r>
    <r>
      <rPr>
        <sz val="11"/>
        <color theme="1"/>
        <rFont val="Aptos Narrow"/>
        <family val="2"/>
        <scheme val="minor"/>
      </rPr>
      <t xml:space="preserve">GIA (Gross Internal Area) for managed offices is calculated at Landlord level and whole building level as total energy divided by total floor area of managed assets. </t>
    </r>
  </si>
  <si>
    <t>Net zero carbon energy use intensity target</t>
  </si>
  <si>
    <t xml:space="preserve">Energy use intensity versus 2030 target of 153 kWhe/m2 for managed offices is calculated as a percentage improvement versus target year. </t>
  </si>
  <si>
    <t>Net zero carbon energy use intensity baseline</t>
  </si>
  <si>
    <t>Energy use intensity versus 2019 baseline of 217 kWhe/m2/yr for managed offices is calculated as a percentage improvement versus baseline year.</t>
  </si>
  <si>
    <t>Water</t>
  </si>
  <si>
    <t xml:space="preserve">Total water consumed in operating our managed office portfolio at whole building level (both landlord and occupier spaces) as per GRESB reporting requirements. Data obtained from a mixture of invoices, automated meter readings (AMR) and building management system (BMS) data extracted by CoolPlanet.
</t>
  </si>
  <si>
    <t>Waste</t>
  </si>
  <si>
    <t xml:space="preserve">Total waste generated in operating our managed office portfolio and residential assets at whole building level (both landlord and occupier spaces) as per GRESB reporting requirements.
All managed standing office and residential assets owned and operated in the reporting year. </t>
  </si>
  <si>
    <t>Scope 1 GHG emissions</t>
  </si>
  <si>
    <r>
      <t>GHG emissions (Scope 1) emitted in operating our managed office and residential portfolio at whole building level (landlord and head office only) as per GRESB reporting requirements.
Conversion of fuel data using the relevant conversion factors - gas - IEA Emissions Factors for 2022 (CO</t>
    </r>
    <r>
      <rPr>
        <vertAlign val="subscript"/>
        <sz val="11"/>
        <color rgb="FF000000"/>
        <rFont val="Aptos Narrow"/>
        <family val="2"/>
        <scheme val="minor"/>
      </rPr>
      <t>2</t>
    </r>
    <r>
      <rPr>
        <sz val="11"/>
        <color rgb="FF000000"/>
        <rFont val="Aptos Narrow"/>
        <family val="2"/>
        <scheme val="minor"/>
      </rPr>
      <t>, N</t>
    </r>
    <r>
      <rPr>
        <vertAlign val="subscript"/>
        <sz val="11"/>
        <color rgb="FF000000"/>
        <rFont val="Aptos Narrow"/>
        <family val="2"/>
        <scheme val="minor"/>
      </rPr>
      <t>2</t>
    </r>
    <r>
      <rPr>
        <sz val="11"/>
        <color rgb="FF000000"/>
        <rFont val="Aptos Narrow"/>
        <family val="2"/>
        <scheme val="minor"/>
      </rPr>
      <t>Oand CH</t>
    </r>
    <r>
      <rPr>
        <vertAlign val="subscript"/>
        <sz val="11"/>
        <color rgb="FF000000"/>
        <rFont val="Aptos Narrow"/>
        <family val="2"/>
        <scheme val="minor"/>
      </rPr>
      <t>4</t>
    </r>
    <r>
      <rPr>
        <sz val="11"/>
        <color rgb="FF000000"/>
        <rFont val="Aptos Narrow"/>
        <family val="2"/>
        <scheme val="minor"/>
      </rPr>
      <t xml:space="preserve">).
</t>
    </r>
  </si>
  <si>
    <t>Scope 2 GHG emissions</t>
  </si>
  <si>
    <r>
      <t>GHG emissions (Scope 2) emitted in operating our managed office and residential portfolio at whole building level (both landlord and head office only) as per GRESB reporting requirements.
Conversion of electricity data using the relevant conversion factors - electricity - IEA Emissions Factors for 2022 (CO</t>
    </r>
    <r>
      <rPr>
        <vertAlign val="subscript"/>
        <sz val="11"/>
        <color rgb="FF000000"/>
        <rFont val="Aptos Narrow"/>
        <family val="2"/>
        <scheme val="minor"/>
      </rPr>
      <t>2</t>
    </r>
    <r>
      <rPr>
        <sz val="11"/>
        <color rgb="FF000000"/>
        <rFont val="Aptos Narrow"/>
        <family val="2"/>
        <scheme val="minor"/>
      </rPr>
      <t>, N</t>
    </r>
    <r>
      <rPr>
        <vertAlign val="subscript"/>
        <sz val="11"/>
        <color rgb="FF000000"/>
        <rFont val="Aptos Narrow"/>
        <family val="2"/>
        <scheme val="minor"/>
      </rPr>
      <t>2</t>
    </r>
    <r>
      <rPr>
        <sz val="11"/>
        <color rgb="FF000000"/>
        <rFont val="Aptos Narrow"/>
        <family val="2"/>
        <scheme val="minor"/>
      </rPr>
      <t>O and CH</t>
    </r>
    <r>
      <rPr>
        <vertAlign val="subscript"/>
        <sz val="11"/>
        <color rgb="FF000000"/>
        <rFont val="Aptos Narrow"/>
        <family val="2"/>
        <scheme val="minor"/>
      </rPr>
      <t>4</t>
    </r>
    <r>
      <rPr>
        <sz val="11"/>
        <color rgb="FF000000"/>
        <rFont val="Aptos Narrow"/>
        <family val="2"/>
        <scheme val="minor"/>
      </rPr>
      <t xml:space="preserve">).
</t>
    </r>
  </si>
  <si>
    <t>Scope 3 GHG emissions - Cat 1</t>
  </si>
  <si>
    <t>Extraction, production, and transportation of goods and services purchased or aquired in the reporting year, not otherwise included in Categories 2-8.
All purchased goods and services costs are accounted for under this category, except for those associated with asset major refurbishments and construction activities, which are accounted for in capital goods.
To derive carbon emissions from cost, the USEEIO data and the GHG Protocol Scope 3 evaluator tool was used https://quantis-suite.com/Scope-3-Evaluator/, https://catalog.data.gov/dataset?q=useeio
Cost data was provided in euros however for the purpose of estimating emissions using the Scope 3 Evaluator tool, cost data was converted into US dollars using exchange rate dated 12th February 2023 (1 Euro=1.07 USD).</t>
  </si>
  <si>
    <t>Scope 3 GHG emissions - Cat 2</t>
  </si>
  <si>
    <t xml:space="preserve">Extraction, production, and transportation of capital goods and services purchased or aquired in the reporting company in the reporting year.
All emissions from major refurbishments and construction activities are accounted under this category.
During reporting year 2023, there was one asset which was under development to account for - Harcourt Square. A whole life carbon assessment was used to calculate the embodied carbon for the 2023 phase of the construction project. </t>
  </si>
  <si>
    <t>Scope 3 GHG emissions - Cat 3</t>
  </si>
  <si>
    <t>Extraction, production, and transportation of fuels and energy purchased or aquired in the reporting year, not already accounted for in scope 1 and scope 2.
Used Scope 1 and 2 primary data (kWh) to derive the emissions associated with the (1) Energy losses occurred during the generation of electricity, (2) Energy losses occurred during the transportation and distribution of electricity from the generator to the meter, known as T&amp;D losses, (3) Fuel losses occurred during the transportation of the fuel from well to tank, known as WTT losses.
2023 Defra conversion factors were used to calculate the emissions.</t>
  </si>
  <si>
    <t>Scope 3 GHG emissions - Cat 4</t>
  </si>
  <si>
    <t>Transportation and distribution of products purchased or aquired in the reporting year between tier 1 suppliers own operations (in vehicles and facilites not owned or controlled); including inbound logistics, outbound logistics (e.g.sold products), and transportation and distribution between assets.
Courier distance and transport mode data from items moving towards head office from other destinations was collected across 2023 and the appropriate DEFRA factors used.
As the exact motor vehicle is not specified the emissions factor used is a combination of an average sized petrol car and average sized petrol van</t>
  </si>
  <si>
    <t>Scope 3 GHG emissions - Cat 5</t>
  </si>
  <si>
    <t>Disposal and treatment of waste generated in the reporting year (in facilities owned or controlled)
Used total waste quantity as primary data (tonnes) to derive the emissions associated with waste generated in operations.
2023 Defra conversion factors were used to calculate the emissions</t>
  </si>
  <si>
    <t>Scope 3 GHG emissions - Cat 6</t>
  </si>
  <si>
    <t>Transportation of employees for business-related activities during the reporting year (in vechicles not owned or operated)
Used business travel distances as primary data (air miles and passenger km) to derive the emissions associated with business travel.
2023 Defra conversion factors were used to calculate the emissions.
For air travel emissions, the carbon factors used include radiative forcing (RF) as per Defra's recommendation:  “Organisations should include the influence of radiative forcing RF in air travel emissions to capture the maximum climate impact of their travel habits."
For taxi travel emissions, the carbon factor for average taxi was used.
Sources included a record of our expenses and spend with our travel agent.</t>
  </si>
  <si>
    <t>Scope 3 GHG emissions - Cat 7</t>
  </si>
  <si>
    <t>Transportation of employees between their homes and their worksites during the reporting year (in vehicles not owned or controlled by the reporting company).
Used commuting travel distances as primary data to derive the associated emissions.
A travel survey carried out for LEED O+M purposes in 2023 included total distance via each transport mode for each day of the week (zero on days that they worked from home).
For air travel emissions, the carbon factors used include radiative forcing (RF) as per Defra's recommendation:  “Organisations should include the influence of radiative forcing RF in air travel emissions to capture the maximum climate impact of their travel habits."
2023 Defra conversion factors were used to calculate the emissions.</t>
  </si>
  <si>
    <t>Scope 3 GHG emissions - Cat 13</t>
  </si>
  <si>
    <r>
      <t>Operations of assets owned and leased to other entities in the reporting year, that are within operational control, and that are not included in scope 1 and scope 2.
Used energy data (electricity and gas) obtained from tenants as primary data.
Conversion of electricity data using the relevant conversion factors - electricity - IEA Emissions Factors for 2022 (CO</t>
    </r>
    <r>
      <rPr>
        <vertAlign val="subscript"/>
        <sz val="11"/>
        <color theme="1"/>
        <rFont val="Aptos Narrow"/>
        <family val="2"/>
        <scheme val="minor"/>
      </rPr>
      <t>2</t>
    </r>
    <r>
      <rPr>
        <sz val="11"/>
        <color theme="1"/>
        <rFont val="Aptos Narrow"/>
        <family val="2"/>
        <scheme val="minor"/>
      </rPr>
      <t>, N</t>
    </r>
    <r>
      <rPr>
        <vertAlign val="subscript"/>
        <sz val="11"/>
        <color theme="1"/>
        <rFont val="Aptos Narrow"/>
        <family val="2"/>
        <scheme val="minor"/>
      </rPr>
      <t>2</t>
    </r>
    <r>
      <rPr>
        <sz val="11"/>
        <color theme="1"/>
        <rFont val="Aptos Narrow"/>
        <family val="2"/>
        <scheme val="minor"/>
      </rPr>
      <t>O and CH</t>
    </r>
    <r>
      <rPr>
        <vertAlign val="subscript"/>
        <sz val="11"/>
        <color theme="1"/>
        <rFont val="Aptos Narrow"/>
        <family val="2"/>
        <scheme val="minor"/>
      </rPr>
      <t>4</t>
    </r>
    <r>
      <rPr>
        <sz val="11"/>
        <color theme="1"/>
        <rFont val="Aptos Narrow"/>
        <family val="2"/>
        <scheme val="minor"/>
      </rPr>
      <t>).
Calculations were based on available occupier energy data as well as the area said occupiers covered.
Gaps were estimated using CIBSE TM46  and REEB energy benchmarks.</t>
    </r>
  </si>
  <si>
    <t>Diversity Employee Gender</t>
  </si>
  <si>
    <t>All staff at end of reporting year split between Senior Management and Executive staff.
Evidence provided from our HR system and dashboards for each employee to calculate the percentage of female to of male employees.</t>
  </si>
  <si>
    <t>Diversity Employee Pay</t>
  </si>
  <si>
    <t>All staff at end of reporting year split between Senior Management and Executive staff.
Evidence provided from our HR system and dashboards for each employee to calculate the the average annual salary (normalised for those staff working less than 5 days a week) and the percentage of female pay to male pay.</t>
  </si>
  <si>
    <t>Diversity Employee Age Distribution</t>
  </si>
  <si>
    <t>All staff at end of reporting year split between Senior Management and Executive staff.
Evidence provided from our HR system and dashboards for each employee to calculate the percentage of of female to male employees based on age group (0-30 years old, 31-50 years old or over 51 years old)</t>
  </si>
  <si>
    <t>Employee Training</t>
  </si>
  <si>
    <t xml:space="preserve">All staff at end of reporting year - includes new hires.
Evidence provided from our HR system and dashboards for each employee to calculate the hours of continuous professional development per employee. </t>
  </si>
  <si>
    <t>Employee Development</t>
  </si>
  <si>
    <t xml:space="preserve">All staff at end of reporting year - includes new hires.
Evidence provided from our HR system and dashboards for each employee to calculate the percentage of employees who have had their annual objectives review completed versus those who have not. 
Any employees who joined or left the company during the reporting year are excluded from the calculation. </t>
  </si>
  <si>
    <t>Employee - new hires</t>
  </si>
  <si>
    <t>All staff at end of reporting year.
Evidence provided from our HR system and dashboards for each employee to calculate the percentage of employees who have joined the company during the calendar year and their gender.</t>
  </si>
  <si>
    <t>Employee - turnover</t>
  </si>
  <si>
    <t xml:space="preserve">All staff at end of reporting year.
Evidence provided from our HR system and dashboards for each employee to calculate the percentage of employees who have left the company during the calendar year and their gender. </t>
  </si>
  <si>
    <t>Employee - health and safety lost days</t>
  </si>
  <si>
    <t>All staff at end of reporting year.
Evidence provided from our HR system and dashboards for each employee to calculate the total number of lost days for all staff due to workplace accidents/incidents as a ratio of total days worked across all staff.
The HR system logs those staff who have been absent due to a work place injury or accident for longer than 3 days and their absence has been logged as a lost day incident with the HSE.</t>
  </si>
  <si>
    <t>Employee - absentee rate</t>
  </si>
  <si>
    <t>All staff at end of reporting year.
Evidence provided from our HR system and dashboards for each employee to calculate the total number of lost days for all staff due to workplace accidents/incidents as a ratio of total days worked across all staff.</t>
  </si>
  <si>
    <t>Employee - health and wellbeing</t>
  </si>
  <si>
    <t xml:space="preserve">All staff at end of reporting year.
The operations team record the number of health and wellbeing initiatives offered to employees each year. </t>
  </si>
  <si>
    <t>Employee - anti bribery and corruption training</t>
  </si>
  <si>
    <t>All staff at end of reporting year.
Evidence provided from our HR system and dashboards for each employee to calculate the total number of CPD hours relating to anti bribery and corruption for all employees in the company.</t>
  </si>
  <si>
    <t>Employee - cyber security training</t>
  </si>
  <si>
    <t>All staff at end of reporting year.
Evidence provided from our HR system and dashboards for each employee to calculate the total number of CPD hours relating to Cyber Security for all employees in the company.</t>
  </si>
  <si>
    <t>Group - health and safety assets</t>
  </si>
  <si>
    <t>All managed offices and residential assets at end of reporting year. 
All managed assets carry out health and safety assessments (in the form of an ISO45001 audit/inspection, asset due diligence, insurance inspection) every 2 - 3 years and these are logged by the respective asset managers/building managers in the company online database for documentation.  
The ratio of the assessments carried out versus the number of assets is calculated separately across managed office assets and managed residential assets.</t>
  </si>
  <si>
    <t>Group - health and safety compliance</t>
  </si>
  <si>
    <t xml:space="preserve">All managed assets and head office operations.
If an inspection is carried out by the HSE or a public official then this is logged and if a non compliance is issued (e.g. site closed) then this is also logged and reported internally and to our owners - Brookfield. 
The total number of these non compliances is calculated annually. </t>
  </si>
  <si>
    <t>Group - incidents of anti bribery and corruption</t>
  </si>
  <si>
    <t xml:space="preserve">Entity.
The risk and compliance team record the number of anti-bribery and corruption incidents that occur each year and report these quarterly to Brookfield and in risk and compliance committee meetings.  </t>
  </si>
  <si>
    <t>Group - Community Engagement</t>
  </si>
  <si>
    <t>All office assets at end of reporting year.
Each asset compiles a log of community activities and once annually for ESG reporting the percentage of assets where these activities are taking place versus assets with no activities is calculated.</t>
  </si>
  <si>
    <t>Group - Occupier satisfaction</t>
  </si>
  <si>
    <t>All occupiers.
Every year an occuper survey is carried out and the overall satisfaction score recorded as the Net Promoter Score.</t>
  </si>
  <si>
    <t>Green building certification - LEED BD+C</t>
  </si>
  <si>
    <t xml:space="preserve">All portfolio assets owned at end of reporting year.
Any asset that has gained LEED BD+C certification receives a certificate that is kept on an internal file sharing system. The number of these certificates is calculated at the end of each year as well as the breakdown of certification achieved and the coverage as a percentage of the portfolio. </t>
  </si>
  <si>
    <t>Green building certification - LEED O+M</t>
  </si>
  <si>
    <t xml:space="preserve">All portfolio assets owned at end of reporting year.
Any asset that has gained LEED O+M certification receives a certificate that is kept on an internal file sharing system. The number of these certificates is calculated at the end of each year as well as the breakdown of certification achieved and the coverage as a percentage of the portfolio. </t>
  </si>
  <si>
    <t>Health and wellbeing building certification - WELL H&amp;S Rating</t>
  </si>
  <si>
    <t xml:space="preserve">All portfolio assets owned at end of reporting year.
Any asset that has gained WELL HSR certification receives a certificate that is kept on an internal file sharing system. The number of these certificates is calculated at the end of each year as well as the breakdown of certification achieved and the coverage as a percentage of the portfolio. </t>
  </si>
  <si>
    <t>Energy rating - BER</t>
  </si>
  <si>
    <t xml:space="preserve">All portfolio assets owned at end of reporting year.
Any asset that has gained a BER certificate receives a certificate that is kept on an internal file sharing system. The number of assets with certificates is calculated at the end of each year as well as the breakdown of certification achieved and the coverage as a percentage of the portfolio. </t>
  </si>
  <si>
    <t>Indicator</t>
  </si>
  <si>
    <t>Code</t>
  </si>
  <si>
    <t>GRI standard</t>
  </si>
  <si>
    <t>Measurement</t>
  </si>
  <si>
    <t>Change</t>
  </si>
  <si>
    <t>Total electricity consumption</t>
  </si>
  <si>
    <t>Elec-Abs</t>
  </si>
  <si>
    <t>302-1</t>
  </si>
  <si>
    <t>kWh</t>
  </si>
  <si>
    <t>Like-for-like electricity consumption</t>
  </si>
  <si>
    <t>Elec-LFL</t>
  </si>
  <si>
    <t>Total energy consumption from fuel</t>
  </si>
  <si>
    <t>Fuels-Abs</t>
  </si>
  <si>
    <t>Like-for-like consumption from fuel</t>
  </si>
  <si>
    <t>Fuels-LFL</t>
  </si>
  <si>
    <t>Direct GHG emissions (total) Scope 1</t>
  </si>
  <si>
    <t>GHG-Dir-Abs</t>
  </si>
  <si>
    <t>305-1</t>
  </si>
  <si>
    <r>
      <t>tCO</t>
    </r>
    <r>
      <rPr>
        <vertAlign val="subscript"/>
        <sz val="11"/>
        <color theme="1"/>
        <rFont val="Aptos Narrow"/>
        <family val="2"/>
        <scheme val="minor"/>
      </rPr>
      <t>2</t>
    </r>
    <r>
      <rPr>
        <sz val="11"/>
        <color theme="1"/>
        <rFont val="Aptos Narrow"/>
        <family val="2"/>
        <scheme val="minor"/>
      </rPr>
      <t>e</t>
    </r>
  </si>
  <si>
    <t>Indirect GHG emissions (total) Scope 2</t>
  </si>
  <si>
    <t>GHG-Indir-Abs</t>
  </si>
  <si>
    <t>305-2</t>
  </si>
  <si>
    <r>
      <t>tCO</t>
    </r>
    <r>
      <rPr>
        <vertAlign val="subscript"/>
        <sz val="11"/>
        <color theme="1"/>
        <rFont val="Aptos Narrow"/>
        <family val="2"/>
        <scheme val="minor"/>
      </rPr>
      <t>2</t>
    </r>
    <r>
      <rPr>
        <sz val="11"/>
        <color theme="1"/>
        <rFont val="Aptos Narrow"/>
        <family val="2"/>
        <scheme val="minor"/>
      </rPr>
      <t>e  (location based)</t>
    </r>
  </si>
  <si>
    <t>Total water consumption</t>
  </si>
  <si>
    <t>Water-Abs</t>
  </si>
  <si>
    <t>303-5</t>
  </si>
  <si>
    <r>
      <t>m</t>
    </r>
    <r>
      <rPr>
        <vertAlign val="superscript"/>
        <sz val="11"/>
        <color theme="1"/>
        <rFont val="Aptos Narrow"/>
        <family val="2"/>
        <scheme val="minor"/>
      </rPr>
      <t>3</t>
    </r>
  </si>
  <si>
    <t>Like-for-like water consumption</t>
  </si>
  <si>
    <t>Water-LFL</t>
  </si>
  <si>
    <t>Waste (total)</t>
  </si>
  <si>
    <t>Waste-Abs</t>
  </si>
  <si>
    <t>306-4</t>
  </si>
  <si>
    <t>tonnes</t>
  </si>
  <si>
    <t>Like-for-like waste (total)</t>
  </si>
  <si>
    <t>Waste-LFL</t>
  </si>
  <si>
    <t>ESG 2022 Databook</t>
  </si>
  <si>
    <t>Unit of measurement</t>
  </si>
  <si>
    <t>Coverage # of
buildings</t>
  </si>
  <si>
    <t>9 of 9</t>
  </si>
  <si>
    <t>kWh from renewable sources onsite</t>
  </si>
  <si>
    <t>2 of 2</t>
  </si>
  <si>
    <t>% from renewable sources procured</t>
  </si>
  <si>
    <t>Building energy intensity</t>
  </si>
  <si>
    <t>Energy-Int</t>
  </si>
  <si>
    <t>302-3</t>
  </si>
  <si>
    <r>
      <t>kWh/m</t>
    </r>
    <r>
      <rPr>
        <vertAlign val="superscript"/>
        <sz val="11"/>
        <color theme="1"/>
        <rFont val="Aptos Narrow"/>
        <family val="2"/>
        <scheme val="minor"/>
      </rPr>
      <t>2</t>
    </r>
  </si>
  <si>
    <t>Like-for-like building energy intensity</t>
  </si>
  <si>
    <t>Energy-Int-LFL</t>
  </si>
  <si>
    <t xml:space="preserve">Indirect GHG emissions (total) Scope 2                                                    </t>
  </si>
  <si>
    <t>GHG-Indir-Abs 305-2</t>
  </si>
  <si>
    <r>
      <t>tCO</t>
    </r>
    <r>
      <rPr>
        <vertAlign val="subscript"/>
        <sz val="11"/>
        <color rgb="FF444444"/>
        <rFont val="Aptos Narrow"/>
        <family val="2"/>
        <scheme val="minor"/>
      </rPr>
      <t>2</t>
    </r>
    <r>
      <rPr>
        <sz val="11"/>
        <color rgb="FF444444"/>
        <rFont val="Aptos Narrow"/>
        <family val="2"/>
        <scheme val="minor"/>
      </rPr>
      <t>e  (market based)</t>
    </r>
  </si>
  <si>
    <t>Building GHG emissions intensity</t>
  </si>
  <si>
    <t>GHG-Int</t>
  </si>
  <si>
    <t>305-4</t>
  </si>
  <si>
    <r>
      <t>tCO</t>
    </r>
    <r>
      <rPr>
        <vertAlign val="subscript"/>
        <sz val="11"/>
        <color theme="1"/>
        <rFont val="Aptos Narrow"/>
        <family val="2"/>
        <scheme val="minor"/>
      </rPr>
      <t>2</t>
    </r>
    <r>
      <rPr>
        <sz val="11"/>
        <color theme="1"/>
        <rFont val="Aptos Narrow"/>
        <family val="2"/>
        <scheme val="minor"/>
      </rPr>
      <t>e/m</t>
    </r>
    <r>
      <rPr>
        <vertAlign val="superscript"/>
        <sz val="11"/>
        <color theme="1"/>
        <rFont val="Aptos Narrow"/>
        <family val="2"/>
        <scheme val="minor"/>
      </rPr>
      <t>2</t>
    </r>
  </si>
  <si>
    <t>Building water consumption intensity</t>
  </si>
  <si>
    <t>Water-Int</t>
  </si>
  <si>
    <r>
      <t>(m</t>
    </r>
    <r>
      <rPr>
        <vertAlign val="superscript"/>
        <sz val="11"/>
        <color theme="1"/>
        <rFont val="Aptos Narrow"/>
        <family val="2"/>
        <scheme val="minor"/>
      </rPr>
      <t>3</t>
    </r>
    <r>
      <rPr>
        <sz val="11"/>
        <color theme="1"/>
        <rFont val="Aptos Narrow"/>
        <family val="2"/>
        <scheme val="minor"/>
      </rPr>
      <t>/m</t>
    </r>
    <r>
      <rPr>
        <vertAlign val="superscript"/>
        <sz val="11"/>
        <color theme="1"/>
        <rFont val="Aptos Narrow"/>
        <family val="2"/>
        <scheme val="minor"/>
      </rPr>
      <t>2</t>
    </r>
    <r>
      <rPr>
        <sz val="11"/>
        <color theme="1"/>
        <rFont val="Aptos Narrow"/>
        <family val="2"/>
        <scheme val="minor"/>
      </rPr>
      <t>.ann)</t>
    </r>
  </si>
  <si>
    <t>Weight of waste by disposal route (total)</t>
  </si>
  <si>
    <t>% recycled</t>
  </si>
  <si>
    <t>% composted</t>
  </si>
  <si>
    <t>% sent to incineration</t>
  </si>
  <si>
    <t>Weight of waste by disposal route (like-for-like)</t>
  </si>
  <si>
    <t>Electricity - Landlord</t>
  </si>
  <si>
    <t>Eletricity - Occupier</t>
  </si>
  <si>
    <t xml:space="preserve">Energy indirect GHG emissions (total) Scope 2                                                    </t>
  </si>
  <si>
    <r>
      <t>tCO</t>
    </r>
    <r>
      <rPr>
        <vertAlign val="subscript"/>
        <sz val="11"/>
        <color rgb="FF444444"/>
        <rFont val="Aptos Narrow"/>
        <family val="2"/>
        <scheme val="minor"/>
      </rPr>
      <t>2</t>
    </r>
    <r>
      <rPr>
        <sz val="11"/>
        <color rgb="FF444444"/>
        <rFont val="Aptos Narrow"/>
        <family val="2"/>
        <scheme val="minor"/>
      </rPr>
      <t>e (market based)</t>
    </r>
  </si>
  <si>
    <r>
      <t>tCO</t>
    </r>
    <r>
      <rPr>
        <vertAlign val="subscript"/>
        <sz val="11"/>
        <color theme="1"/>
        <rFont val="Aptos Narrow"/>
        <family val="2"/>
        <scheme val="minor"/>
      </rPr>
      <t>2</t>
    </r>
    <r>
      <rPr>
        <sz val="11"/>
        <color theme="1"/>
        <rFont val="Aptos Narrow"/>
        <family val="2"/>
        <scheme val="minor"/>
      </rPr>
      <t>e (location based)</t>
    </r>
  </si>
  <si>
    <t>Other indirect GHG emissions (total) Scope 3</t>
  </si>
  <si>
    <t>305-3</t>
  </si>
  <si>
    <r>
      <t>tCO</t>
    </r>
    <r>
      <rPr>
        <vertAlign val="subscript"/>
        <sz val="11"/>
        <color theme="1"/>
        <rFont val="Aptos Narrow"/>
        <family val="2"/>
        <scheme val="minor"/>
      </rPr>
      <t>2</t>
    </r>
    <r>
      <rPr>
        <sz val="11"/>
        <color theme="1"/>
        <rFont val="Aptos Narrow"/>
        <family val="2"/>
        <scheme val="minor"/>
      </rPr>
      <t>e</t>
    </r>
    <r>
      <rPr>
        <sz val="11"/>
        <color theme="1"/>
        <rFont val="Aptos Narrow"/>
        <family val="2"/>
        <scheme val="minor"/>
      </rPr>
      <t>/m</t>
    </r>
    <r>
      <rPr>
        <vertAlign val="superscript"/>
        <sz val="11"/>
        <color theme="1"/>
        <rFont val="Aptos Narrow"/>
        <family val="2"/>
        <scheme val="minor"/>
      </rPr>
      <t>2</t>
    </r>
  </si>
  <si>
    <t xml:space="preserve"> Residential - landlord controlled</t>
  </si>
  <si>
    <t>Total electricity consumption - landlord</t>
  </si>
  <si>
    <t>293 of 293</t>
  </si>
  <si>
    <t>kWh per apartment</t>
  </si>
  <si>
    <t>Indirect GHG emissions (total) Scope 2 (location based)</t>
  </si>
  <si>
    <r>
      <t>tCO</t>
    </r>
    <r>
      <rPr>
        <vertAlign val="subscript"/>
        <sz val="11"/>
        <color theme="1"/>
        <rFont val="Aptos Narrow"/>
        <family val="2"/>
        <scheme val="minor"/>
      </rPr>
      <t>2e</t>
    </r>
    <r>
      <rPr>
        <sz val="11"/>
        <color theme="1"/>
        <rFont val="Aptos Narrow"/>
        <family val="2"/>
        <scheme val="minor"/>
      </rPr>
      <t xml:space="preserve">  per apartment</t>
    </r>
  </si>
  <si>
    <t>% from renewable sources</t>
  </si>
  <si>
    <r>
      <t>(m</t>
    </r>
    <r>
      <rPr>
        <vertAlign val="superscript"/>
        <sz val="11"/>
        <color theme="1"/>
        <rFont val="Aptos Narrow"/>
        <family val="2"/>
        <scheme val="minor"/>
      </rPr>
      <t>3</t>
    </r>
    <r>
      <rPr>
        <sz val="11"/>
        <color theme="1"/>
        <rFont val="Aptos Narrow"/>
        <family val="2"/>
        <scheme val="minor"/>
      </rPr>
      <t xml:space="preserve"> per employee)</t>
    </r>
  </si>
  <si>
    <t>Sub-area</t>
  </si>
  <si>
    <t>Units of measurement</t>
  </si>
  <si>
    <r>
      <t>Net Zero Carbon Pathway</t>
    </r>
    <r>
      <rPr>
        <b/>
        <vertAlign val="superscript"/>
        <sz val="12"/>
        <color rgb="FFFFFFFF"/>
        <rFont val="Aptos Narrow"/>
        <family val="2"/>
        <scheme val="minor"/>
      </rPr>
      <t>4</t>
    </r>
  </si>
  <si>
    <r>
      <t>BBP framework</t>
    </r>
    <r>
      <rPr>
        <b/>
        <vertAlign val="superscript"/>
        <sz val="12"/>
        <color rgb="FFFFFFFF"/>
        <rFont val="Aptos Narrow"/>
        <family val="2"/>
        <scheme val="minor"/>
      </rPr>
      <t>4</t>
    </r>
  </si>
  <si>
    <r>
      <t>WorldGBC framework</t>
    </r>
    <r>
      <rPr>
        <b/>
        <vertAlign val="superscript"/>
        <sz val="12"/>
        <color rgb="FFFFFFFF"/>
        <rFont val="Aptos Narrow"/>
        <family val="2"/>
        <scheme val="minor"/>
      </rPr>
      <t>4</t>
    </r>
  </si>
  <si>
    <t>Scope 1 – Total</t>
  </si>
  <si>
    <t>Purchased fuels and refrigerants</t>
  </si>
  <si>
    <r>
      <t>tCO</t>
    </r>
    <r>
      <rPr>
        <vertAlign val="subscript"/>
        <sz val="11"/>
        <color rgb="FF000000"/>
        <rFont val="Aptos Narrow"/>
        <family val="2"/>
        <scheme val="minor"/>
      </rPr>
      <t>2</t>
    </r>
    <r>
      <rPr>
        <sz val="11"/>
        <color rgb="FF000000"/>
        <rFont val="Aptos Narrow"/>
        <family val="2"/>
        <scheme val="minor"/>
      </rPr>
      <t>e</t>
    </r>
  </si>
  <si>
    <t>yes</t>
  </si>
  <si>
    <t>Scope 2 – Total</t>
  </si>
  <si>
    <t>Purchased electricity</t>
  </si>
  <si>
    <r>
      <t>Renewable tariffs (landlord emissions)</t>
    </r>
    <r>
      <rPr>
        <vertAlign val="superscript"/>
        <sz val="11"/>
        <color rgb="FF000000"/>
        <rFont val="Aptos Narrow"/>
        <family val="2"/>
        <scheme val="minor"/>
      </rPr>
      <t>1</t>
    </r>
  </si>
  <si>
    <t>-</t>
  </si>
  <si>
    <t xml:space="preserve">Total Scope 1 and 2  </t>
  </si>
  <si>
    <t>Scope 3</t>
  </si>
  <si>
    <t>1 Purchased goods and services</t>
  </si>
  <si>
    <t>Purchased goods and services</t>
  </si>
  <si>
    <t>no</t>
  </si>
  <si>
    <r>
      <t>2 Capital goods</t>
    </r>
    <r>
      <rPr>
        <vertAlign val="superscript"/>
        <sz val="11"/>
        <color theme="1"/>
        <rFont val="Aptos Narrow"/>
        <family val="2"/>
        <scheme val="minor"/>
      </rPr>
      <t>2</t>
    </r>
  </si>
  <si>
    <t xml:space="preserve">Developments and refurbishments </t>
  </si>
  <si>
    <t>NA</t>
  </si>
  <si>
    <t>3 Fuel- and energy- related activities</t>
  </si>
  <si>
    <t xml:space="preserve">Landlord purchased energy </t>
  </si>
  <si>
    <t xml:space="preserve">5 Waste generated in operations </t>
  </si>
  <si>
    <t>Operational waste generated</t>
  </si>
  <si>
    <t>6 Business travel</t>
  </si>
  <si>
    <t>Employee business travel</t>
  </si>
  <si>
    <t>7 Employee commuting</t>
  </si>
  <si>
    <t>Employee commuting</t>
  </si>
  <si>
    <r>
      <t>13 Downstream leased assets</t>
    </r>
    <r>
      <rPr>
        <vertAlign val="superscript"/>
        <sz val="11"/>
        <color theme="1"/>
        <rFont val="Aptos Narrow"/>
        <family val="2"/>
        <scheme val="minor"/>
      </rPr>
      <t>3</t>
    </r>
  </si>
  <si>
    <t>Occupier purchased energy (electricity and fuels)</t>
  </si>
  <si>
    <t>Scope 3 – Total</t>
  </si>
  <si>
    <t>Total Scope 1, 2 and 3</t>
  </si>
  <si>
    <t>Data qualifying notes:</t>
  </si>
  <si>
    <r>
      <rPr>
        <vertAlign val="superscript"/>
        <sz val="9"/>
        <color theme="1"/>
        <rFont val="Aptos Narrow"/>
        <family val="2"/>
        <scheme val="minor"/>
      </rPr>
      <t>1</t>
    </r>
    <r>
      <rPr>
        <sz val="9"/>
        <color theme="1"/>
        <rFont val="Aptos Narrow"/>
        <family val="2"/>
        <scheme val="minor"/>
      </rPr>
      <t xml:space="preserve"> As part of the Scope 2 emissions, we report our emissions based on location and market-based factors. All our purchased electricity supplies are Guarantee of Origin-backed, which allows us to claim zero emissions under the Scope 2 market-based emissions category.</t>
    </r>
  </si>
  <si>
    <r>
      <rPr>
        <vertAlign val="superscript"/>
        <sz val="9"/>
        <color theme="1"/>
        <rFont val="Aptos Narrow"/>
        <family val="2"/>
        <scheme val="minor"/>
      </rPr>
      <t xml:space="preserve">2 </t>
    </r>
    <r>
      <rPr>
        <sz val="9"/>
        <color theme="1"/>
        <rFont val="Aptos Narrow"/>
        <family val="2"/>
        <scheme val="minor"/>
      </rPr>
      <t xml:space="preserve">Capital goods covers the embodied carbon from development projects. In 2022 there were no development projects to report on. </t>
    </r>
  </si>
  <si>
    <r>
      <rPr>
        <vertAlign val="superscript"/>
        <sz val="9"/>
        <color theme="1"/>
        <rFont val="Aptos Narrow"/>
        <family val="2"/>
        <scheme val="minor"/>
      </rPr>
      <t>3</t>
    </r>
    <r>
      <rPr>
        <sz val="9"/>
        <color theme="1"/>
        <rFont val="Aptos Narrow"/>
        <family val="2"/>
        <scheme val="minor"/>
      </rPr>
      <t xml:space="preserve"> Downstream leased assets covers our occupier GHG emissions associated with their own energy consumption.</t>
    </r>
  </si>
  <si>
    <r>
      <rPr>
        <vertAlign val="superscript"/>
        <sz val="9"/>
        <color theme="1"/>
        <rFont val="Aptos Narrow"/>
        <family val="2"/>
        <scheme val="minor"/>
      </rPr>
      <t xml:space="preserve">4 </t>
    </r>
    <r>
      <rPr>
        <sz val="9"/>
        <color theme="1"/>
        <rFont val="Aptos Narrow"/>
        <family val="2"/>
        <scheme val="minor"/>
      </rPr>
      <t xml:space="preserve">Our Net Zero Carbon Pathway commits us to disclosing certain GHG emissions annually, as do the Better Building Partnership (BBP) and the World Green Building Council (WorldGBC) frameworks we ae signatories to.  </t>
    </r>
  </si>
  <si>
    <t>LEED BD+C (Core and Shell)</t>
  </si>
  <si>
    <t>Platinum</t>
  </si>
  <si>
    <t>Gold</t>
  </si>
  <si>
    <t>Projects delivered</t>
  </si>
  <si>
    <t>% of contracted rent (portfolio)</t>
  </si>
  <si>
    <t>% of contracted rent (managed office portfolio)</t>
  </si>
  <si>
    <t>LEED O+M (Operations and Maintenance)</t>
  </si>
  <si>
    <t>WELL Health Safety Rating</t>
  </si>
  <si>
    <t>Certified</t>
  </si>
  <si>
    <t>% of contracted rent (office portfolio)</t>
  </si>
  <si>
    <t>BER % – by value</t>
  </si>
  <si>
    <t>Rating</t>
  </si>
  <si>
    <t>A1</t>
  </si>
  <si>
    <t>A2</t>
  </si>
  <si>
    <t>A3</t>
  </si>
  <si>
    <t>B1</t>
  </si>
  <si>
    <t>B2</t>
  </si>
  <si>
    <t>B3</t>
  </si>
  <si>
    <t>C1</t>
  </si>
  <si>
    <t>C2</t>
  </si>
  <si>
    <t>C3</t>
  </si>
  <si>
    <t>D</t>
  </si>
  <si>
    <t>E</t>
  </si>
  <si>
    <t>F</t>
  </si>
  <si>
    <t>G</t>
  </si>
  <si>
    <t>Office portfolio</t>
  </si>
  <si>
    <t>Managed portfolio</t>
  </si>
  <si>
    <t>BER % – by contracted rent</t>
  </si>
  <si>
    <t>Metric</t>
  </si>
  <si>
    <t>Unit</t>
  </si>
  <si>
    <t>% change</t>
  </si>
  <si>
    <t>Comment</t>
  </si>
  <si>
    <t>Total electricity consumption (location based)</t>
  </si>
  <si>
    <t>managed offices only</t>
  </si>
  <si>
    <t>Total electricity consumption (market based)</t>
  </si>
  <si>
    <t>Building energy use intensity (by area)</t>
  </si>
  <si>
    <r>
      <t>kWh/m</t>
    </r>
    <r>
      <rPr>
        <vertAlign val="superscript"/>
        <sz val="11"/>
        <color theme="1"/>
        <rFont val="Aptos Narrow"/>
        <family val="2"/>
        <scheme val="minor"/>
      </rPr>
      <t>2</t>
    </r>
    <r>
      <rPr>
        <sz val="11"/>
        <color theme="1"/>
        <rFont val="Aptos Narrow"/>
        <family val="2"/>
        <scheme val="minor"/>
      </rPr>
      <t>/yr</t>
    </r>
  </si>
  <si>
    <t>Total scope 1 and 2 emissions intensity</t>
  </si>
  <si>
    <r>
      <t>tCO</t>
    </r>
    <r>
      <rPr>
        <vertAlign val="subscript"/>
        <sz val="11"/>
        <color theme="1"/>
        <rFont val="Aptos Narrow"/>
        <family val="2"/>
        <scheme val="minor"/>
      </rPr>
      <t>2</t>
    </r>
    <r>
      <rPr>
        <sz val="11"/>
        <color theme="1"/>
        <rFont val="Aptos Narrow"/>
        <family val="2"/>
        <scheme val="minor"/>
      </rPr>
      <t>e/m</t>
    </r>
    <r>
      <rPr>
        <vertAlign val="superscript"/>
        <sz val="11"/>
        <color theme="1"/>
        <rFont val="Aptos Narrow"/>
        <family val="2"/>
        <scheme val="minor"/>
      </rPr>
      <t>2</t>
    </r>
    <r>
      <rPr>
        <sz val="11"/>
        <color theme="1"/>
        <rFont val="Aptos Narrow"/>
        <family val="2"/>
        <scheme val="minor"/>
      </rPr>
      <t>/yr</t>
    </r>
  </si>
  <si>
    <t>Total scope 3 emissions</t>
  </si>
  <si>
    <t>portfolio</t>
  </si>
  <si>
    <t>Total Scope 1, 2 and 3 emissions</t>
  </si>
  <si>
    <t>Building water usage</t>
  </si>
  <si>
    <t>Building water intensity</t>
  </si>
  <si>
    <r>
      <t>m</t>
    </r>
    <r>
      <rPr>
        <vertAlign val="superscript"/>
        <sz val="11"/>
        <color theme="1"/>
        <rFont val="Aptos Narrow"/>
        <family val="2"/>
        <scheme val="minor"/>
      </rPr>
      <t>3</t>
    </r>
    <r>
      <rPr>
        <sz val="11"/>
        <color theme="1"/>
        <rFont val="Aptos Narrow"/>
        <family val="2"/>
        <scheme val="minor"/>
      </rPr>
      <t>/m</t>
    </r>
    <r>
      <rPr>
        <vertAlign val="superscript"/>
        <sz val="11"/>
        <color theme="1"/>
        <rFont val="Aptos Narrow"/>
        <family val="2"/>
        <scheme val="minor"/>
      </rPr>
      <t>2</t>
    </r>
    <r>
      <rPr>
        <sz val="11"/>
        <color theme="1"/>
        <rFont val="Aptos Narrow"/>
        <family val="2"/>
        <scheme val="minor"/>
      </rPr>
      <t>/yr</t>
    </r>
  </si>
  <si>
    <t>Waste generated</t>
  </si>
  <si>
    <t>Waste recycled</t>
  </si>
  <si>
    <t>%</t>
  </si>
  <si>
    <t>Waste composted</t>
  </si>
  <si>
    <t>Waste incinerated for energy</t>
  </si>
  <si>
    <t>Percentage green building certified assets by floor area</t>
  </si>
  <si>
    <t>offices only</t>
  </si>
  <si>
    <t>Percentage of revenues derived from LEED certified assets</t>
  </si>
  <si>
    <t>total portfolio</t>
  </si>
  <si>
    <t>Percentage of revenues derived from BER rated buildings B3 or better</t>
  </si>
  <si>
    <t>Investment in energy/carbon saving measures</t>
  </si>
  <si>
    <t>€s</t>
  </si>
  <si>
    <t>BER upgrades, solar PV installation and smart energy saving systems</t>
  </si>
  <si>
    <t>Estimated annual energy savings from measures</t>
  </si>
  <si>
    <t>savings estimated across landlord and occupier spaces.</t>
  </si>
  <si>
    <t>Estimated annual greenhouse gas emissions savings</t>
  </si>
  <si>
    <t>Total amount of capital raised via the Internal Carbon Price</t>
  </si>
  <si>
    <t>whole Life Carbon measured for Harcourt Square for 12 months to end December 2023</t>
  </si>
  <si>
    <t>Percentage of capital invested via the Carbon Reduction Fund generated from previous year</t>
  </si>
  <si>
    <t>no construction in 2022 to fund Carbon Reduction Fund</t>
  </si>
  <si>
    <t>Scope</t>
  </si>
  <si>
    <t>Gender - diversity</t>
  </si>
  <si>
    <t>Diversity-Emp</t>
  </si>
  <si>
    <t>Corporate operations</t>
  </si>
  <si>
    <t>405-1</t>
  </si>
  <si>
    <t>% of female employees</t>
  </si>
  <si>
    <t>% of female employees at senior levels</t>
  </si>
  <si>
    <t>Gender - pay</t>
  </si>
  <si>
    <t>Diversity-Pay</t>
  </si>
  <si>
    <t>405-2</t>
  </si>
  <si>
    <t>Ratio of male to female pay</t>
  </si>
  <si>
    <t>Ratio of male to female pay at senior levels</t>
  </si>
  <si>
    <t>Gender - age distribution</t>
  </si>
  <si>
    <t>% all staff 0-30 years of age</t>
  </si>
  <si>
    <t>All staff 0-30 years of age - male</t>
  </si>
  <si>
    <t>All staff 0-30 years of age - female</t>
  </si>
  <si>
    <t>% Senior Management 0-30 years of age</t>
  </si>
  <si>
    <t>Senior Management 0-30 years of age - male</t>
  </si>
  <si>
    <t>Senior Management 0-30 years of age - female</t>
  </si>
  <si>
    <t>% staff 31-50 years of age</t>
  </si>
  <si>
    <t>All staff 31-50  years of age - male</t>
  </si>
  <si>
    <t>All staff 31-50  years of age - female</t>
  </si>
  <si>
    <t>% Senior Management 31-50  years of age</t>
  </si>
  <si>
    <t>Senior Management 31-50  years of age - male</t>
  </si>
  <si>
    <t>Senior Management 31-50  years of age - female</t>
  </si>
  <si>
    <t>% staff 51 plus years of age</t>
  </si>
  <si>
    <t>All staff 51 plus  years of age - male</t>
  </si>
  <si>
    <t>All staff 51 plus  years of age - female</t>
  </si>
  <si>
    <t>% Senior Management 51 plus  years of age</t>
  </si>
  <si>
    <t>Senior Management 51 plus years of age - male</t>
  </si>
  <si>
    <t>Senior Management 51 plus years of age - female</t>
  </si>
  <si>
    <t>Training and development</t>
  </si>
  <si>
    <t>Emp-Training</t>
  </si>
  <si>
    <t>404-1</t>
  </si>
  <si>
    <t>Average hours per annum</t>
  </si>
  <si>
    <t>Performance appraisals</t>
  </si>
  <si>
    <t>Emp-Dev</t>
  </si>
  <si>
    <t>404-3</t>
  </si>
  <si>
    <t>% of employees</t>
  </si>
  <si>
    <t>New hires</t>
  </si>
  <si>
    <t>Emp-Turnover</t>
  </si>
  <si>
    <t>401-1</t>
  </si>
  <si>
    <t>Total number</t>
  </si>
  <si>
    <t>3 (2:1 female to male)</t>
  </si>
  <si>
    <t>4 (3:1 female to male)</t>
  </si>
  <si>
    <t>Rate</t>
  </si>
  <si>
    <t>Turnover</t>
  </si>
  <si>
    <t>8 (2:6 female to male)</t>
  </si>
  <si>
    <t>4 (2:2 female to male)</t>
  </si>
  <si>
    <t>–</t>
  </si>
  <si>
    <t>Injury rate</t>
  </si>
  <si>
    <t>H&amp;S-Emp</t>
  </si>
  <si>
    <t>403-9</t>
  </si>
  <si>
    <t>per x hours works</t>
  </si>
  <si>
    <t>Lost day rate</t>
  </si>
  <si>
    <t>Absentee rate</t>
  </si>
  <si>
    <t>% of total days scheduled to work</t>
  </si>
  <si>
    <t>Fatalities</t>
  </si>
  <si>
    <t>H&amp;S impact assessments</t>
  </si>
  <si>
    <t>H&amp;S-Asset</t>
  </si>
  <si>
    <t>416-1</t>
  </si>
  <si>
    <t>% of assets</t>
  </si>
  <si>
    <t>Residential portfolio</t>
  </si>
  <si>
    <t>Number of incidents</t>
  </si>
  <si>
    <t>H&amp;S-Comp</t>
  </si>
  <si>
    <t>No instances of non-compliance</t>
  </si>
  <si>
    <t>Employee health and wellbeing</t>
  </si>
  <si>
    <t>No. health and wellbeing events</t>
  </si>
  <si>
    <t>ABC - instances</t>
  </si>
  <si>
    <t>ABC - employee training</t>
  </si>
  <si>
    <t>Cyber security - employee training</t>
  </si>
  <si>
    <t>Community programmes</t>
  </si>
  <si>
    <t>Comty-Eng</t>
  </si>
  <si>
    <t>413-1</t>
  </si>
  <si>
    <t>Occupier satisfaction</t>
  </si>
  <si>
    <t>Net Promoter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</si>
</sst>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00"/>
    <numFmt numFmtId="166" formatCode="_-* #,##0.000_-;\-* #,##0.000_-;_-* &quot;-&quot;??_-;_-@_-"/>
    <numFmt numFmtId="167" formatCode="0.000"/>
  </numFmts>
  <fonts count="3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4"/>
      <color theme="1"/>
      <name val="Aptos Narrow"/>
      <family val="2"/>
      <scheme val="minor"/>
    </font>
    <font>
      <b/>
      <sz val="16"/>
      <color theme="1"/>
      <name val="Aptos Narrow"/>
      <family val="2"/>
      <scheme val="minor"/>
    </font>
    <font>
      <sz val="11"/>
      <name val="Aptos Narrow"/>
      <family val="2"/>
      <scheme val="minor"/>
    </font>
    <font>
      <b/>
      <u/>
      <sz val="11"/>
      <color theme="1"/>
      <name val="Aptos Narrow"/>
      <family val="2"/>
      <scheme val="minor"/>
    </font>
    <font>
      <u/>
      <sz val="11"/>
      <color theme="1"/>
      <name val="Aptos Narrow"/>
      <family val="2"/>
      <scheme val="minor"/>
    </font>
    <font>
      <vertAlign val="superscript"/>
      <sz val="11"/>
      <color theme="1"/>
      <name val="Aptos Narrow"/>
      <family val="2"/>
      <scheme val="minor"/>
    </font>
    <font>
      <vertAlign val="subscript"/>
      <sz val="11"/>
      <color theme="1"/>
      <name val="Aptos Narrow"/>
      <family val="2"/>
      <scheme val="minor"/>
    </font>
    <font>
      <b/>
      <sz val="12"/>
      <color rgb="FFFFFFFF"/>
      <name val="Aptos Narrow"/>
      <family val="2"/>
      <scheme val="minor"/>
    </font>
    <font>
      <b/>
      <sz val="9"/>
      <color theme="1"/>
      <name val="Aptos Narrow"/>
      <family val="2"/>
      <scheme val="minor"/>
    </font>
    <font>
      <sz val="9"/>
      <color theme="1"/>
      <name val="Aptos Narrow"/>
      <family val="2"/>
      <scheme val="minor"/>
    </font>
    <font>
      <sz val="12"/>
      <color theme="1"/>
      <name val="Aptos Narrow"/>
      <family val="2"/>
      <scheme val="minor"/>
    </font>
    <font>
      <b/>
      <sz val="12"/>
      <color theme="1"/>
      <name val="Aptos Narrow"/>
      <family val="2"/>
      <scheme val="minor"/>
    </font>
    <font>
      <b/>
      <vertAlign val="superscript"/>
      <sz val="12"/>
      <color rgb="FFFFFFFF"/>
      <name val="Aptos Narrow"/>
      <family val="2"/>
      <scheme val="minor"/>
    </font>
    <font>
      <vertAlign val="superscript"/>
      <sz val="9"/>
      <color theme="1"/>
      <name val="Aptos Narrow"/>
      <family val="2"/>
      <scheme val="minor"/>
    </font>
    <font>
      <b/>
      <sz val="12"/>
      <color theme="0"/>
      <name val="Aptos Narrow"/>
      <family val="2"/>
      <scheme val="minor"/>
    </font>
    <font>
      <sz val="11"/>
      <color rgb="FF000000"/>
      <name val="Aptos Narrow"/>
      <family val="2"/>
      <scheme val="minor"/>
    </font>
    <font>
      <vertAlign val="superscript"/>
      <sz val="11"/>
      <color rgb="FF000000"/>
      <name val="Aptos Narrow"/>
      <family val="2"/>
      <scheme val="minor"/>
    </font>
    <font>
      <vertAlign val="subscript"/>
      <sz val="11"/>
      <color rgb="FF000000"/>
      <name val="Aptos Narrow"/>
      <family val="2"/>
      <scheme val="minor"/>
    </font>
    <font>
      <b/>
      <u/>
      <sz val="11"/>
      <color rgb="FF000000"/>
      <name val="Aptos Narrow"/>
      <family val="2"/>
      <scheme val="minor"/>
    </font>
    <font>
      <b/>
      <u/>
      <sz val="11"/>
      <name val="Aptos Narrow"/>
      <family val="2"/>
      <scheme val="minor"/>
    </font>
    <font>
      <u/>
      <sz val="11"/>
      <name val="Aptos Narrow"/>
      <family val="2"/>
      <scheme val="minor"/>
    </font>
    <font>
      <b/>
      <sz val="11"/>
      <color rgb="FF444444"/>
      <name val="Aptos Narrow"/>
      <family val="2"/>
      <scheme val="minor"/>
    </font>
    <font>
      <sz val="11"/>
      <color rgb="FF444444"/>
      <name val="Aptos Narrow"/>
      <family val="2"/>
      <scheme val="minor"/>
    </font>
    <font>
      <vertAlign val="subscript"/>
      <sz val="11"/>
      <color rgb="FF444444"/>
      <name val="Aptos Narrow"/>
      <family val="2"/>
      <scheme val="minor"/>
    </font>
    <font>
      <sz val="9"/>
      <color rgb="FF282827"/>
      <name val="Aptos Narrow"/>
      <family val="2"/>
      <scheme val="minor"/>
    </font>
    <font>
      <sz val="9"/>
      <color rgb="FF000000"/>
      <name val="Aptos Narrow"/>
      <family val="2"/>
      <scheme val="minor"/>
    </font>
  </fonts>
  <fills count="4">
    <fill>
      <patternFill patternType="none"/>
    </fill>
    <fill>
      <patternFill patternType="gray125"/>
    </fill>
    <fill>
      <patternFill patternType="solid">
        <fgColor rgb="FF203764"/>
        <bgColor indexed="64"/>
      </patternFill>
    </fill>
    <fill>
      <patternFill patternType="solid">
        <fgColor theme="4" tint="-0.499984740745262"/>
        <bgColor indexed="64"/>
      </patternFill>
    </fill>
  </fills>
  <borders count="3">
    <border>
      <left/>
      <right/>
      <top/>
      <bottom/>
      <diagonal/>
    </border>
    <border>
      <left/>
      <right/>
      <top/>
      <bottom style="medium">
        <color rgb="FF000000"/>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00">
    <xf numFmtId="0" fontId="0" fillId="0" borderId="0" xfId="0"/>
    <xf numFmtId="0" fontId="5" fillId="0" borderId="0" xfId="0" applyFont="1"/>
    <xf numFmtId="0" fontId="6" fillId="0" borderId="1" xfId="0" applyFont="1" applyBorder="1"/>
    <xf numFmtId="0" fontId="0" fillId="0" borderId="2" xfId="0" applyBorder="1"/>
    <xf numFmtId="0" fontId="4" fillId="0" borderId="0" xfId="3"/>
    <xf numFmtId="0" fontId="5" fillId="0" borderId="0" xfId="0" applyFont="1" applyProtection="1">
      <protection hidden="1"/>
    </xf>
    <xf numFmtId="0" fontId="6" fillId="0" borderId="1" xfId="0" applyFont="1" applyBorder="1" applyProtection="1">
      <protection hidden="1"/>
    </xf>
    <xf numFmtId="0" fontId="12" fillId="2" borderId="0" xfId="0" applyFont="1" applyFill="1" applyAlignment="1" applyProtection="1">
      <alignment wrapText="1"/>
      <protection hidden="1"/>
    </xf>
    <xf numFmtId="0" fontId="13" fillId="0" borderId="0" xfId="0" applyFont="1" applyProtection="1">
      <protection hidden="1"/>
    </xf>
    <xf numFmtId="0" fontId="14" fillId="0" borderId="0" xfId="0" applyFont="1" applyProtection="1">
      <protection hidden="1"/>
    </xf>
    <xf numFmtId="0" fontId="0" fillId="0" borderId="0" xfId="0" applyProtection="1">
      <protection hidden="1"/>
    </xf>
    <xf numFmtId="0" fontId="0" fillId="0" borderId="1" xfId="0" applyBorder="1" applyProtection="1">
      <protection hidden="1"/>
    </xf>
    <xf numFmtId="9" fontId="3" fillId="0" borderId="0" xfId="2" applyFont="1" applyFill="1" applyAlignment="1" applyProtection="1">
      <alignment horizontal="right"/>
      <protection hidden="1"/>
    </xf>
    <xf numFmtId="9" fontId="3" fillId="0" borderId="0" xfId="0" applyNumberFormat="1" applyFont="1" applyAlignment="1" applyProtection="1">
      <alignment horizontal="right"/>
      <protection hidden="1"/>
    </xf>
    <xf numFmtId="9" fontId="0" fillId="0" borderId="0" xfId="0" applyNumberFormat="1" applyAlignment="1" applyProtection="1">
      <alignment horizontal="right"/>
      <protection hidden="1"/>
    </xf>
    <xf numFmtId="9" fontId="0" fillId="0" borderId="0" xfId="0" applyNumberFormat="1" applyProtection="1">
      <protection hidden="1"/>
    </xf>
    <xf numFmtId="0" fontId="3" fillId="0" borderId="0" xfId="0" applyFont="1" applyAlignment="1" applyProtection="1">
      <alignment horizontal="right"/>
      <protection hidden="1"/>
    </xf>
    <xf numFmtId="0" fontId="0" fillId="0" borderId="0" xfId="0" applyAlignment="1" applyProtection="1">
      <alignment horizontal="right"/>
      <protection hidden="1"/>
    </xf>
    <xf numFmtId="1" fontId="3" fillId="0" borderId="0" xfId="0" applyNumberFormat="1" applyFont="1" applyAlignment="1" applyProtection="1">
      <alignment horizontal="right"/>
      <protection hidden="1"/>
    </xf>
    <xf numFmtId="10" fontId="3" fillId="0" borderId="0" xfId="0" applyNumberFormat="1" applyFont="1" applyAlignment="1" applyProtection="1">
      <alignment horizontal="right"/>
      <protection hidden="1"/>
    </xf>
    <xf numFmtId="0" fontId="3" fillId="0" borderId="1" xfId="0" applyFont="1" applyBorder="1" applyAlignment="1" applyProtection="1">
      <alignment horizontal="right"/>
      <protection hidden="1"/>
    </xf>
    <xf numFmtId="0" fontId="0" fillId="0" borderId="1" xfId="0" applyBorder="1" applyAlignment="1" applyProtection="1">
      <alignment horizontal="right"/>
      <protection hidden="1"/>
    </xf>
    <xf numFmtId="9" fontId="0" fillId="0" borderId="1" xfId="2" applyFont="1" applyBorder="1" applyProtection="1">
      <protection hidden="1"/>
    </xf>
    <xf numFmtId="0" fontId="12" fillId="2" borderId="0" xfId="0" applyFont="1" applyFill="1" applyProtection="1">
      <protection hidden="1"/>
    </xf>
    <xf numFmtId="3" fontId="26" fillId="0" borderId="0" xfId="0" applyNumberFormat="1" applyFont="1" applyProtection="1">
      <protection hidden="1"/>
    </xf>
    <xf numFmtId="0" fontId="3" fillId="0" borderId="0" xfId="0" applyFont="1" applyAlignment="1" applyProtection="1">
      <alignment horizontal="center"/>
      <protection hidden="1"/>
    </xf>
    <xf numFmtId="9" fontId="3" fillId="0" borderId="0" xfId="2" applyFont="1" applyFill="1" applyProtection="1">
      <protection hidden="1"/>
    </xf>
    <xf numFmtId="164" fontId="26" fillId="0" borderId="0" xfId="1" applyNumberFormat="1" applyFont="1" applyFill="1" applyProtection="1">
      <protection hidden="1"/>
    </xf>
    <xf numFmtId="3" fontId="3" fillId="0" borderId="0" xfId="0" applyNumberFormat="1" applyFont="1" applyProtection="1">
      <protection hidden="1"/>
    </xf>
    <xf numFmtId="0" fontId="27" fillId="0" borderId="0" xfId="0" applyFont="1" applyProtection="1">
      <protection hidden="1"/>
    </xf>
    <xf numFmtId="1" fontId="3" fillId="0" borderId="0" xfId="2" applyNumberFormat="1" applyFont="1" applyFill="1" applyProtection="1">
      <protection hidden="1"/>
    </xf>
    <xf numFmtId="165" fontId="3" fillId="0" borderId="0" xfId="0" applyNumberFormat="1" applyFont="1" applyProtection="1">
      <protection hidden="1"/>
    </xf>
    <xf numFmtId="0" fontId="0" fillId="0" borderId="0" xfId="0" applyAlignment="1" applyProtection="1">
      <alignment horizontal="left"/>
      <protection hidden="1"/>
    </xf>
    <xf numFmtId="4" fontId="3" fillId="0" borderId="0" xfId="0" applyNumberFormat="1" applyFont="1" applyProtection="1">
      <protection hidden="1"/>
    </xf>
    <xf numFmtId="9" fontId="3" fillId="0" borderId="0" xfId="0" applyNumberFormat="1" applyFont="1" applyProtection="1">
      <protection hidden="1"/>
    </xf>
    <xf numFmtId="1" fontId="3" fillId="0" borderId="0" xfId="0" applyNumberFormat="1" applyFont="1" applyProtection="1">
      <protection hidden="1"/>
    </xf>
    <xf numFmtId="0" fontId="3" fillId="0" borderId="0" xfId="0" applyFont="1" applyProtection="1">
      <protection hidden="1"/>
    </xf>
    <xf numFmtId="0" fontId="0" fillId="0" borderId="2" xfId="0" applyBorder="1" applyProtection="1">
      <protection hidden="1"/>
    </xf>
    <xf numFmtId="9" fontId="3" fillId="0" borderId="2" xfId="2" applyFont="1" applyFill="1" applyBorder="1" applyProtection="1">
      <protection hidden="1"/>
    </xf>
    <xf numFmtId="0" fontId="3" fillId="0" borderId="2" xfId="0" applyFont="1" applyBorder="1" applyAlignment="1" applyProtection="1">
      <alignment horizontal="center"/>
      <protection hidden="1"/>
    </xf>
    <xf numFmtId="9" fontId="3" fillId="0" borderId="2" xfId="0" applyNumberFormat="1" applyFont="1" applyBorder="1" applyProtection="1">
      <protection hidden="1"/>
    </xf>
    <xf numFmtId="9" fontId="0" fillId="0" borderId="2" xfId="0" applyNumberFormat="1" applyBorder="1" applyProtection="1">
      <protection hidden="1"/>
    </xf>
    <xf numFmtId="9" fontId="3" fillId="0" borderId="0" xfId="2" applyFont="1" applyProtection="1">
      <protection hidden="1"/>
    </xf>
    <xf numFmtId="0" fontId="3" fillId="0" borderId="0" xfId="2" applyNumberFormat="1" applyFont="1" applyFill="1" applyProtection="1">
      <protection hidden="1"/>
    </xf>
    <xf numFmtId="0" fontId="3" fillId="0" borderId="0" xfId="2" applyNumberFormat="1" applyFont="1" applyProtection="1">
      <protection hidden="1"/>
    </xf>
    <xf numFmtId="9" fontId="3" fillId="0" borderId="2" xfId="2" applyFont="1" applyBorder="1" applyProtection="1">
      <protection hidden="1"/>
    </xf>
    <xf numFmtId="0" fontId="12" fillId="2" borderId="1" xfId="0" applyFont="1" applyFill="1" applyBorder="1" applyProtection="1">
      <protection hidden="1"/>
    </xf>
    <xf numFmtId="3" fontId="3" fillId="0" borderId="1" xfId="0" applyNumberFormat="1" applyFont="1" applyBorder="1" applyProtection="1">
      <protection hidden="1"/>
    </xf>
    <xf numFmtId="0" fontId="3" fillId="0" borderId="1" xfId="0" applyFont="1" applyBorder="1" applyProtection="1">
      <protection hidden="1"/>
    </xf>
    <xf numFmtId="0" fontId="13" fillId="0" borderId="0" xfId="0" applyFont="1" applyAlignment="1" applyProtection="1">
      <alignment wrapText="1"/>
      <protection hidden="1"/>
    </xf>
    <xf numFmtId="0" fontId="29" fillId="0" borderId="0" xfId="0" applyFont="1" applyProtection="1">
      <protection hidden="1"/>
    </xf>
    <xf numFmtId="0" fontId="30" fillId="0" borderId="0" xfId="0" applyFont="1" applyProtection="1">
      <protection hidden="1"/>
    </xf>
    <xf numFmtId="0" fontId="0" fillId="0" borderId="0" xfId="0" applyAlignment="1" applyProtection="1">
      <alignment wrapText="1"/>
      <protection hidden="1"/>
    </xf>
    <xf numFmtId="0" fontId="0" fillId="0" borderId="1" xfId="0" applyBorder="1" applyAlignment="1" applyProtection="1">
      <alignment wrapText="1"/>
      <protection hidden="1"/>
    </xf>
    <xf numFmtId="0" fontId="8"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9" fillId="0" borderId="0" xfId="0" applyFont="1" applyAlignment="1" applyProtection="1">
      <alignment vertical="top" wrapText="1"/>
      <protection hidden="1"/>
    </xf>
    <xf numFmtId="0" fontId="4" fillId="0" borderId="0" xfId="3" applyFill="1" applyBorder="1" applyAlignment="1" applyProtection="1">
      <alignment wrapText="1"/>
      <protection hidden="1"/>
    </xf>
    <xf numFmtId="0" fontId="4" fillId="0" borderId="0" xfId="3" applyFill="1" applyAlignment="1" applyProtection="1">
      <alignment vertical="top" wrapText="1"/>
      <protection hidden="1"/>
    </xf>
    <xf numFmtId="0" fontId="8" fillId="0" borderId="0" xfId="0" applyFont="1" applyAlignment="1" applyProtection="1">
      <alignment vertical="top"/>
      <protection hidden="1"/>
    </xf>
    <xf numFmtId="0" fontId="20" fillId="0" borderId="0" xfId="0" applyFont="1" applyAlignment="1" applyProtection="1">
      <alignment vertical="top" wrapText="1"/>
      <protection hidden="1"/>
    </xf>
    <xf numFmtId="0" fontId="0" fillId="0" borderId="0" xfId="0" quotePrefix="1" applyAlignment="1" applyProtection="1">
      <alignment vertical="top" wrapText="1"/>
      <protection hidden="1"/>
    </xf>
    <xf numFmtId="0" fontId="8" fillId="0" borderId="0" xfId="0" applyFont="1" applyAlignment="1" applyProtection="1">
      <alignment horizontal="right" vertical="top"/>
      <protection hidden="1"/>
    </xf>
    <xf numFmtId="0" fontId="4" fillId="0" borderId="2" xfId="3" applyFill="1" applyBorder="1" applyAlignment="1" applyProtection="1">
      <alignment wrapText="1"/>
      <protection hidden="1"/>
    </xf>
    <xf numFmtId="0" fontId="7" fillId="0" borderId="0" xfId="0" applyFont="1" applyAlignment="1" applyProtection="1">
      <alignment vertical="top" wrapText="1"/>
      <protection hidden="1"/>
    </xf>
    <xf numFmtId="0" fontId="2" fillId="0" borderId="0" xfId="0" applyFont="1" applyAlignment="1" applyProtection="1">
      <alignment vertical="top" wrapText="1"/>
      <protection hidden="1"/>
    </xf>
    <xf numFmtId="0" fontId="9" fillId="0" borderId="0" xfId="0" applyFont="1" applyAlignment="1" applyProtection="1">
      <alignment wrapText="1"/>
      <protection hidden="1"/>
    </xf>
    <xf numFmtId="0" fontId="25" fillId="0" borderId="0" xfId="0" applyFont="1" applyAlignment="1" applyProtection="1">
      <alignment vertical="top" wrapText="1"/>
      <protection hidden="1"/>
    </xf>
    <xf numFmtId="0" fontId="9" fillId="0" borderId="2" xfId="0" applyFont="1" applyBorder="1" applyProtection="1">
      <protection hidden="1"/>
    </xf>
    <xf numFmtId="2" fontId="3" fillId="0" borderId="0" xfId="0" applyNumberFormat="1" applyFont="1" applyProtection="1">
      <protection hidden="1"/>
    </xf>
    <xf numFmtId="0" fontId="15" fillId="0" borderId="0" xfId="0" applyFont="1" applyProtection="1">
      <protection hidden="1"/>
    </xf>
    <xf numFmtId="0" fontId="27" fillId="0" borderId="0" xfId="0" quotePrefix="1" applyFont="1" applyProtection="1">
      <protection hidden="1"/>
    </xf>
    <xf numFmtId="164" fontId="3" fillId="0" borderId="0" xfId="1" applyNumberFormat="1" applyFont="1" applyFill="1" applyProtection="1">
      <protection hidden="1"/>
    </xf>
    <xf numFmtId="164" fontId="3" fillId="0" borderId="0" xfId="1" applyNumberFormat="1" applyFont="1" applyProtection="1">
      <protection hidden="1"/>
    </xf>
    <xf numFmtId="166" fontId="3" fillId="0" borderId="0" xfId="1" applyNumberFormat="1" applyFont="1" applyFill="1" applyProtection="1">
      <protection hidden="1"/>
    </xf>
    <xf numFmtId="43" fontId="3" fillId="0" borderId="0" xfId="0" applyNumberFormat="1" applyFont="1" applyProtection="1">
      <protection hidden="1"/>
    </xf>
    <xf numFmtId="2" fontId="3" fillId="0" borderId="0" xfId="2" applyNumberFormat="1" applyFont="1" applyFill="1" applyProtection="1">
      <protection hidden="1"/>
    </xf>
    <xf numFmtId="0" fontId="6" fillId="0" borderId="2" xfId="0" applyFont="1" applyBorder="1" applyProtection="1">
      <protection hidden="1"/>
    </xf>
    <xf numFmtId="0" fontId="16" fillId="0" borderId="0" xfId="0" applyFont="1" applyProtection="1">
      <protection hidden="1"/>
    </xf>
    <xf numFmtId="0" fontId="20" fillId="0" borderId="0" xfId="0" applyFont="1" applyProtection="1">
      <protection hidden="1"/>
    </xf>
    <xf numFmtId="0" fontId="0" fillId="0" borderId="0" xfId="0" applyAlignment="1" applyProtection="1">
      <alignment horizontal="center"/>
      <protection hidden="1"/>
    </xf>
    <xf numFmtId="0" fontId="20" fillId="0" borderId="2" xfId="0" applyFont="1" applyBorder="1" applyProtection="1">
      <protection hidden="1"/>
    </xf>
    <xf numFmtId="164" fontId="3" fillId="0" borderId="1" xfId="1" applyNumberFormat="1" applyFont="1" applyFill="1" applyBorder="1" applyProtection="1">
      <protection hidden="1"/>
    </xf>
    <xf numFmtId="164" fontId="3" fillId="0" borderId="1" xfId="1" applyNumberFormat="1" applyFont="1" applyBorder="1" applyProtection="1">
      <protection hidden="1"/>
    </xf>
    <xf numFmtId="0" fontId="0" fillId="0" borderId="1" xfId="0" applyBorder="1" applyAlignment="1" applyProtection="1">
      <alignment horizontal="center"/>
      <protection hidden="1"/>
    </xf>
    <xf numFmtId="0" fontId="19" fillId="3" borderId="0" xfId="0" applyFont="1" applyFill="1" applyProtection="1">
      <protection hidden="1"/>
    </xf>
    <xf numFmtId="0" fontId="19" fillId="3" borderId="0" xfId="0" applyFont="1" applyFill="1" applyAlignment="1" applyProtection="1">
      <alignment horizontal="right"/>
      <protection hidden="1"/>
    </xf>
    <xf numFmtId="1" fontId="0" fillId="0" borderId="0" xfId="2" applyNumberFormat="1" applyFont="1" applyAlignment="1" applyProtection="1">
      <alignment horizontal="right"/>
      <protection hidden="1"/>
    </xf>
    <xf numFmtId="1" fontId="0" fillId="0" borderId="0" xfId="0" applyNumberFormat="1" applyProtection="1">
      <protection hidden="1"/>
    </xf>
    <xf numFmtId="0" fontId="0" fillId="0" borderId="2" xfId="0" applyBorder="1" applyAlignment="1" applyProtection="1">
      <alignment horizontal="right"/>
      <protection hidden="1"/>
    </xf>
    <xf numFmtId="1" fontId="0" fillId="0" borderId="2" xfId="2" applyNumberFormat="1" applyFont="1" applyBorder="1" applyAlignment="1" applyProtection="1">
      <alignment horizontal="right"/>
      <protection hidden="1"/>
    </xf>
    <xf numFmtId="1" fontId="0" fillId="0" borderId="2" xfId="0" applyNumberFormat="1" applyBorder="1" applyProtection="1">
      <protection hidden="1"/>
    </xf>
    <xf numFmtId="1" fontId="0" fillId="0" borderId="0" xfId="0" applyNumberFormat="1" applyAlignment="1" applyProtection="1">
      <alignment horizontal="right"/>
      <protection hidden="1"/>
    </xf>
    <xf numFmtId="1" fontId="0" fillId="0" borderId="2" xfId="0" applyNumberFormat="1" applyBorder="1" applyAlignment="1" applyProtection="1">
      <alignment horizontal="right"/>
      <protection hidden="1"/>
    </xf>
    <xf numFmtId="0" fontId="12" fillId="2" borderId="0" xfId="0" applyFont="1" applyFill="1" applyAlignment="1" applyProtection="1">
      <alignment horizontal="right"/>
      <protection hidden="1"/>
    </xf>
    <xf numFmtId="3" fontId="3" fillId="0" borderId="0" xfId="0" applyNumberFormat="1" applyFont="1" applyAlignment="1" applyProtection="1">
      <alignment horizontal="right"/>
      <protection hidden="1"/>
    </xf>
    <xf numFmtId="167" fontId="3" fillId="0" borderId="0" xfId="0" applyNumberFormat="1" applyFont="1" applyAlignment="1" applyProtection="1">
      <alignment horizontal="right"/>
      <protection hidden="1"/>
    </xf>
    <xf numFmtId="4" fontId="3" fillId="0" borderId="0" xfId="0" applyNumberFormat="1" applyFont="1" applyAlignment="1" applyProtection="1">
      <alignment horizontal="right"/>
      <protection hidden="1"/>
    </xf>
    <xf numFmtId="0" fontId="14" fillId="0" borderId="0" xfId="0" applyFont="1" applyAlignment="1" applyProtection="1">
      <alignment horizontal="left" vertical="top" wrapText="1"/>
      <protection hidden="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3019425</xdr:colOff>
      <xdr:row>0</xdr:row>
      <xdr:rowOff>0</xdr:rowOff>
    </xdr:from>
    <xdr:ext cx="2600325" cy="971550"/>
    <xdr:pic>
      <xdr:nvPicPr>
        <xdr:cNvPr id="2" name="Picture 1">
          <a:extLst>
            <a:ext uri="{FF2B5EF4-FFF2-40B4-BE49-F238E27FC236}">
              <a16:creationId xmlns:a16="http://schemas.microsoft.com/office/drawing/2014/main" id="{79D38FDB-6BE9-4FC4-A17B-C8D17BC1AEAA}"/>
            </a:ext>
          </a:extLst>
        </xdr:cNvPr>
        <xdr:cNvPicPr>
          <a:picLocks noChangeAspect="1"/>
        </xdr:cNvPicPr>
      </xdr:nvPicPr>
      <xdr:blipFill>
        <a:blip xmlns:r="http://schemas.openxmlformats.org/officeDocument/2006/relationships" r:embed="rId1"/>
        <a:stretch>
          <a:fillRect/>
        </a:stretch>
      </xdr:blipFill>
      <xdr:spPr>
        <a:xfrm>
          <a:off x="3476625" y="0"/>
          <a:ext cx="2600325" cy="9715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314325</xdr:colOff>
      <xdr:row>0</xdr:row>
      <xdr:rowOff>28575</xdr:rowOff>
    </xdr:from>
    <xdr:ext cx="2295525" cy="971550"/>
    <xdr:pic>
      <xdr:nvPicPr>
        <xdr:cNvPr id="2" name="Picture 1">
          <a:extLst>
            <a:ext uri="{FF2B5EF4-FFF2-40B4-BE49-F238E27FC236}">
              <a16:creationId xmlns:a16="http://schemas.microsoft.com/office/drawing/2014/main" id="{90DBF31A-0345-46A0-9427-74D6224A562D}"/>
            </a:ext>
          </a:extLst>
        </xdr:cNvPr>
        <xdr:cNvPicPr>
          <a:picLocks noChangeAspect="1"/>
        </xdr:cNvPicPr>
      </xdr:nvPicPr>
      <xdr:blipFill>
        <a:blip xmlns:r="http://schemas.openxmlformats.org/officeDocument/2006/relationships" r:embed="rId1"/>
        <a:stretch>
          <a:fillRect/>
        </a:stretch>
      </xdr:blipFill>
      <xdr:spPr>
        <a:xfrm>
          <a:off x="9772650" y="28575"/>
          <a:ext cx="2295525" cy="971550"/>
        </a:xfrm>
        <a:prstGeom prst="rect">
          <a:avLst/>
        </a:prstGeom>
      </xdr:spPr>
    </xdr:pic>
    <xdr:clientData/>
  </xdr:oneCellAnchor>
  <xdr:twoCellAnchor editAs="oneCell">
    <xdr:from>
      <xdr:col>0</xdr:col>
      <xdr:colOff>0</xdr:colOff>
      <xdr:row>0</xdr:row>
      <xdr:rowOff>0</xdr:rowOff>
    </xdr:from>
    <xdr:to>
      <xdr:col>1</xdr:col>
      <xdr:colOff>1951328</xdr:colOff>
      <xdr:row>4</xdr:row>
      <xdr:rowOff>686232</xdr:rowOff>
    </xdr:to>
    <xdr:pic>
      <xdr:nvPicPr>
        <xdr:cNvPr id="3" name="Picture 2">
          <a:extLst>
            <a:ext uri="{FF2B5EF4-FFF2-40B4-BE49-F238E27FC236}">
              <a16:creationId xmlns:a16="http://schemas.microsoft.com/office/drawing/2014/main" id="{4FB893E1-9201-41C0-872C-E45F9580AD8B}"/>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1952625</xdr:colOff>
      <xdr:row>0</xdr:row>
      <xdr:rowOff>0</xdr:rowOff>
    </xdr:from>
    <xdr:to>
      <xdr:col>3</xdr:col>
      <xdr:colOff>228563</xdr:colOff>
      <xdr:row>4</xdr:row>
      <xdr:rowOff>686437</xdr:rowOff>
    </xdr:to>
    <xdr:pic>
      <xdr:nvPicPr>
        <xdr:cNvPr id="4" name="Picture 3">
          <a:extLst>
            <a:ext uri="{FF2B5EF4-FFF2-40B4-BE49-F238E27FC236}">
              <a16:creationId xmlns:a16="http://schemas.microsoft.com/office/drawing/2014/main" id="{F9913755-0F35-4074-BB64-3C4644CDA91B}"/>
            </a:ext>
          </a:extLst>
        </xdr:cNvPr>
        <xdr:cNvPicPr>
          <a:picLocks noChangeAspect="1"/>
        </xdr:cNvPicPr>
      </xdr:nvPicPr>
      <xdr:blipFill>
        <a:blip xmlns:r="http://schemas.openxmlformats.org/officeDocument/2006/relationships" r:embed="rId3"/>
        <a:stretch>
          <a:fillRect/>
        </a:stretch>
      </xdr:blipFill>
      <xdr:spPr>
        <a:xfrm>
          <a:off x="2200275" y="0"/>
          <a:ext cx="2305013" cy="16103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6</xdr:col>
      <xdr:colOff>1933575</xdr:colOff>
      <xdr:row>1</xdr:row>
      <xdr:rowOff>38100</xdr:rowOff>
    </xdr:from>
    <xdr:ext cx="2552700" cy="971550"/>
    <xdr:pic>
      <xdr:nvPicPr>
        <xdr:cNvPr id="2" name="Picture 1">
          <a:extLst>
            <a:ext uri="{FF2B5EF4-FFF2-40B4-BE49-F238E27FC236}">
              <a16:creationId xmlns:a16="http://schemas.microsoft.com/office/drawing/2014/main" id="{2EA83869-10E8-4FFA-BC20-BC8C926D359F}"/>
            </a:ext>
          </a:extLst>
        </xdr:cNvPr>
        <xdr:cNvPicPr>
          <a:picLocks noChangeAspect="1"/>
        </xdr:cNvPicPr>
      </xdr:nvPicPr>
      <xdr:blipFill>
        <a:blip xmlns:r="http://schemas.openxmlformats.org/officeDocument/2006/relationships" r:embed="rId1"/>
        <a:stretch>
          <a:fillRect/>
        </a:stretch>
      </xdr:blipFill>
      <xdr:spPr>
        <a:xfrm>
          <a:off x="12039600" y="219075"/>
          <a:ext cx="2552700" cy="971550"/>
        </a:xfrm>
        <a:prstGeom prst="rect">
          <a:avLst/>
        </a:prstGeom>
      </xdr:spPr>
    </xdr:pic>
    <xdr:clientData/>
  </xdr:oneCellAnchor>
  <xdr:twoCellAnchor editAs="oneCell">
    <xdr:from>
      <xdr:col>0</xdr:col>
      <xdr:colOff>0</xdr:colOff>
      <xdr:row>0</xdr:row>
      <xdr:rowOff>0</xdr:rowOff>
    </xdr:from>
    <xdr:to>
      <xdr:col>1</xdr:col>
      <xdr:colOff>1865603</xdr:colOff>
      <xdr:row>5</xdr:row>
      <xdr:rowOff>48057</xdr:rowOff>
    </xdr:to>
    <xdr:pic>
      <xdr:nvPicPr>
        <xdr:cNvPr id="3" name="Picture 2">
          <a:extLst>
            <a:ext uri="{FF2B5EF4-FFF2-40B4-BE49-F238E27FC236}">
              <a16:creationId xmlns:a16="http://schemas.microsoft.com/office/drawing/2014/main" id="{8DBDBF02-167C-45A9-B7C4-B850C6234B4F}"/>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1866900</xdr:colOff>
      <xdr:row>0</xdr:row>
      <xdr:rowOff>0</xdr:rowOff>
    </xdr:from>
    <xdr:to>
      <xdr:col>1</xdr:col>
      <xdr:colOff>4162388</xdr:colOff>
      <xdr:row>5</xdr:row>
      <xdr:rowOff>48262</xdr:rowOff>
    </xdr:to>
    <xdr:pic>
      <xdr:nvPicPr>
        <xdr:cNvPr id="4" name="Picture 3">
          <a:extLst>
            <a:ext uri="{FF2B5EF4-FFF2-40B4-BE49-F238E27FC236}">
              <a16:creationId xmlns:a16="http://schemas.microsoft.com/office/drawing/2014/main" id="{30DA2528-F47F-484B-A2A0-4FE33EDDD98B}"/>
            </a:ext>
          </a:extLst>
        </xdr:cNvPr>
        <xdr:cNvPicPr>
          <a:picLocks noChangeAspect="1"/>
        </xdr:cNvPicPr>
      </xdr:nvPicPr>
      <xdr:blipFill>
        <a:blip xmlns:r="http://schemas.openxmlformats.org/officeDocument/2006/relationships" r:embed="rId3"/>
        <a:stretch>
          <a:fillRect/>
        </a:stretch>
      </xdr:blipFill>
      <xdr:spPr>
        <a:xfrm>
          <a:off x="2200275" y="0"/>
          <a:ext cx="2295488" cy="16103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7</xdr:col>
      <xdr:colOff>2257425</xdr:colOff>
      <xdr:row>0</xdr:row>
      <xdr:rowOff>76200</xdr:rowOff>
    </xdr:from>
    <xdr:ext cx="2462212" cy="971550"/>
    <xdr:pic>
      <xdr:nvPicPr>
        <xdr:cNvPr id="2" name="Picture 1">
          <a:extLst>
            <a:ext uri="{FF2B5EF4-FFF2-40B4-BE49-F238E27FC236}">
              <a16:creationId xmlns:a16="http://schemas.microsoft.com/office/drawing/2014/main" id="{FC8EF8C5-2DE7-44EE-A629-7928FCAACCF3}"/>
            </a:ext>
          </a:extLst>
        </xdr:cNvPr>
        <xdr:cNvPicPr>
          <a:picLocks noChangeAspect="1"/>
        </xdr:cNvPicPr>
      </xdr:nvPicPr>
      <xdr:blipFill>
        <a:blip xmlns:r="http://schemas.openxmlformats.org/officeDocument/2006/relationships" r:embed="rId1"/>
        <a:stretch>
          <a:fillRect/>
        </a:stretch>
      </xdr:blipFill>
      <xdr:spPr>
        <a:xfrm>
          <a:off x="13754100" y="76200"/>
          <a:ext cx="2462212" cy="971550"/>
        </a:xfrm>
        <a:prstGeom prst="rect">
          <a:avLst/>
        </a:prstGeom>
      </xdr:spPr>
    </xdr:pic>
    <xdr:clientData/>
  </xdr:oneCellAnchor>
  <xdr:twoCellAnchor editAs="oneCell">
    <xdr:from>
      <xdr:col>0</xdr:col>
      <xdr:colOff>0</xdr:colOff>
      <xdr:row>0</xdr:row>
      <xdr:rowOff>0</xdr:rowOff>
    </xdr:from>
    <xdr:to>
      <xdr:col>1</xdr:col>
      <xdr:colOff>1876850</xdr:colOff>
      <xdr:row>5</xdr:row>
      <xdr:rowOff>124462</xdr:rowOff>
    </xdr:to>
    <xdr:pic>
      <xdr:nvPicPr>
        <xdr:cNvPr id="3" name="Picture 2">
          <a:extLst>
            <a:ext uri="{FF2B5EF4-FFF2-40B4-BE49-F238E27FC236}">
              <a16:creationId xmlns:a16="http://schemas.microsoft.com/office/drawing/2014/main" id="{0B68619A-A2E0-4C4B-BADF-52E9AB30F9EE}"/>
            </a:ext>
          </a:extLst>
        </xdr:cNvPr>
        <xdr:cNvPicPr>
          <a:picLocks noChangeAspect="1"/>
        </xdr:cNvPicPr>
      </xdr:nvPicPr>
      <xdr:blipFill>
        <a:blip xmlns:r="http://schemas.openxmlformats.org/officeDocument/2006/relationships" r:embed="rId2"/>
        <a:stretch>
          <a:fillRect/>
        </a:stretch>
      </xdr:blipFill>
      <xdr:spPr>
        <a:xfrm>
          <a:off x="0" y="0"/>
          <a:ext cx="2134025" cy="1610362"/>
        </a:xfrm>
        <a:prstGeom prst="rect">
          <a:avLst/>
        </a:prstGeom>
      </xdr:spPr>
    </xdr:pic>
    <xdr:clientData/>
  </xdr:twoCellAnchor>
  <xdr:twoCellAnchor editAs="oneCell">
    <xdr:from>
      <xdr:col>1</xdr:col>
      <xdr:colOff>1866900</xdr:colOff>
      <xdr:row>0</xdr:row>
      <xdr:rowOff>0</xdr:rowOff>
    </xdr:from>
    <xdr:to>
      <xdr:col>3</xdr:col>
      <xdr:colOff>237971</xdr:colOff>
      <xdr:row>5</xdr:row>
      <xdr:rowOff>124462</xdr:rowOff>
    </xdr:to>
    <xdr:pic>
      <xdr:nvPicPr>
        <xdr:cNvPr id="4" name="Picture 3">
          <a:extLst>
            <a:ext uri="{FF2B5EF4-FFF2-40B4-BE49-F238E27FC236}">
              <a16:creationId xmlns:a16="http://schemas.microsoft.com/office/drawing/2014/main" id="{0A98411B-C9B0-4701-A817-703E7B03DD6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682" r="9408"/>
        <a:stretch/>
      </xdr:blipFill>
      <xdr:spPr bwMode="auto">
        <a:xfrm>
          <a:off x="2124075" y="0"/>
          <a:ext cx="2142971" cy="1610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2776537</xdr:colOff>
      <xdr:row>0</xdr:row>
      <xdr:rowOff>0</xdr:rowOff>
    </xdr:from>
    <xdr:ext cx="2776538" cy="971550"/>
    <xdr:pic>
      <xdr:nvPicPr>
        <xdr:cNvPr id="2" name="Picture 1">
          <a:extLst>
            <a:ext uri="{FF2B5EF4-FFF2-40B4-BE49-F238E27FC236}">
              <a16:creationId xmlns:a16="http://schemas.microsoft.com/office/drawing/2014/main" id="{896AB750-0EC3-4D32-8A88-0515F0325670}"/>
            </a:ext>
          </a:extLst>
        </xdr:cNvPr>
        <xdr:cNvPicPr>
          <a:picLocks noChangeAspect="1"/>
        </xdr:cNvPicPr>
      </xdr:nvPicPr>
      <xdr:blipFill>
        <a:blip xmlns:r="http://schemas.openxmlformats.org/officeDocument/2006/relationships" r:embed="rId1"/>
        <a:stretch>
          <a:fillRect/>
        </a:stretch>
      </xdr:blipFill>
      <xdr:spPr>
        <a:xfrm>
          <a:off x="3019424" y="0"/>
          <a:ext cx="2776538" cy="9715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338137</xdr:colOff>
      <xdr:row>0</xdr:row>
      <xdr:rowOff>47625</xdr:rowOff>
    </xdr:from>
    <xdr:ext cx="2776538" cy="971550"/>
    <xdr:pic>
      <xdr:nvPicPr>
        <xdr:cNvPr id="2" name="Picture 1">
          <a:extLst>
            <a:ext uri="{FF2B5EF4-FFF2-40B4-BE49-F238E27FC236}">
              <a16:creationId xmlns:a16="http://schemas.microsoft.com/office/drawing/2014/main" id="{549F5EF4-5CA1-42E4-819E-F8F59A9A083D}"/>
            </a:ext>
          </a:extLst>
        </xdr:cNvPr>
        <xdr:cNvPicPr>
          <a:picLocks noChangeAspect="1"/>
        </xdr:cNvPicPr>
      </xdr:nvPicPr>
      <xdr:blipFill>
        <a:blip xmlns:r="http://schemas.openxmlformats.org/officeDocument/2006/relationships" r:embed="rId1"/>
        <a:stretch>
          <a:fillRect/>
        </a:stretch>
      </xdr:blipFill>
      <xdr:spPr>
        <a:xfrm>
          <a:off x="3209924" y="47625"/>
          <a:ext cx="2776538" cy="9715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523875</xdr:colOff>
      <xdr:row>0</xdr:row>
      <xdr:rowOff>0</xdr:rowOff>
    </xdr:from>
    <xdr:ext cx="2381250" cy="962025"/>
    <xdr:pic>
      <xdr:nvPicPr>
        <xdr:cNvPr id="2" name="Picture 1">
          <a:extLst>
            <a:ext uri="{FF2B5EF4-FFF2-40B4-BE49-F238E27FC236}">
              <a16:creationId xmlns:a16="http://schemas.microsoft.com/office/drawing/2014/main" id="{46A0497C-A35F-4B73-AFAD-EBD965B3EDE7}"/>
            </a:ext>
          </a:extLst>
        </xdr:cNvPr>
        <xdr:cNvPicPr>
          <a:picLocks noChangeAspect="1"/>
        </xdr:cNvPicPr>
      </xdr:nvPicPr>
      <xdr:blipFill>
        <a:blip xmlns:r="http://schemas.openxmlformats.org/officeDocument/2006/relationships" r:embed="rId1"/>
        <a:stretch>
          <a:fillRect/>
        </a:stretch>
      </xdr:blipFill>
      <xdr:spPr>
        <a:xfrm>
          <a:off x="8572500" y="0"/>
          <a:ext cx="2381250" cy="962025"/>
        </a:xfrm>
        <a:prstGeom prst="rect">
          <a:avLst/>
        </a:prstGeom>
      </xdr:spPr>
    </xdr:pic>
    <xdr:clientData/>
  </xdr:oneCellAnchor>
  <xdr:twoCellAnchor editAs="oneCell">
    <xdr:from>
      <xdr:col>0</xdr:col>
      <xdr:colOff>0</xdr:colOff>
      <xdr:row>0</xdr:row>
      <xdr:rowOff>0</xdr:rowOff>
    </xdr:from>
    <xdr:to>
      <xdr:col>1</xdr:col>
      <xdr:colOff>1551278</xdr:colOff>
      <xdr:row>5</xdr:row>
      <xdr:rowOff>105207</xdr:rowOff>
    </xdr:to>
    <xdr:pic>
      <xdr:nvPicPr>
        <xdr:cNvPr id="3" name="Picture 2">
          <a:extLst>
            <a:ext uri="{FF2B5EF4-FFF2-40B4-BE49-F238E27FC236}">
              <a16:creationId xmlns:a16="http://schemas.microsoft.com/office/drawing/2014/main" id="{BC7DF034-3B3A-42DC-88EE-A8DC22290612}"/>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1552575</xdr:colOff>
      <xdr:row>0</xdr:row>
      <xdr:rowOff>0</xdr:rowOff>
    </xdr:from>
    <xdr:to>
      <xdr:col>1</xdr:col>
      <xdr:colOff>3619463</xdr:colOff>
      <xdr:row>5</xdr:row>
      <xdr:rowOff>105412</xdr:rowOff>
    </xdr:to>
    <xdr:pic>
      <xdr:nvPicPr>
        <xdr:cNvPr id="4" name="Picture 3">
          <a:extLst>
            <a:ext uri="{FF2B5EF4-FFF2-40B4-BE49-F238E27FC236}">
              <a16:creationId xmlns:a16="http://schemas.microsoft.com/office/drawing/2014/main" id="{A37D7200-B97F-4458-A3DD-B36EF19F777C}"/>
            </a:ext>
          </a:extLst>
        </xdr:cNvPr>
        <xdr:cNvPicPr>
          <a:picLocks noChangeAspect="1"/>
        </xdr:cNvPicPr>
      </xdr:nvPicPr>
      <xdr:blipFill>
        <a:blip xmlns:r="http://schemas.openxmlformats.org/officeDocument/2006/relationships" r:embed="rId3"/>
        <a:stretch>
          <a:fillRect/>
        </a:stretch>
      </xdr:blipFill>
      <xdr:spPr>
        <a:xfrm>
          <a:off x="2200275" y="0"/>
          <a:ext cx="2066888" cy="16103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790575</xdr:colOff>
      <xdr:row>0</xdr:row>
      <xdr:rowOff>38100</xdr:rowOff>
    </xdr:from>
    <xdr:ext cx="2462213" cy="971550"/>
    <xdr:pic>
      <xdr:nvPicPr>
        <xdr:cNvPr id="2" name="Picture 1">
          <a:extLst>
            <a:ext uri="{FF2B5EF4-FFF2-40B4-BE49-F238E27FC236}">
              <a16:creationId xmlns:a16="http://schemas.microsoft.com/office/drawing/2014/main" id="{3B23BDEF-DB8B-4AD6-8EFD-FB7A1E134BA8}"/>
            </a:ext>
          </a:extLst>
        </xdr:cNvPr>
        <xdr:cNvPicPr>
          <a:picLocks noChangeAspect="1"/>
        </xdr:cNvPicPr>
      </xdr:nvPicPr>
      <xdr:blipFill>
        <a:blip xmlns:r="http://schemas.openxmlformats.org/officeDocument/2006/relationships" r:embed="rId1"/>
        <a:stretch>
          <a:fillRect/>
        </a:stretch>
      </xdr:blipFill>
      <xdr:spPr>
        <a:xfrm>
          <a:off x="11249025" y="38100"/>
          <a:ext cx="2462213" cy="971550"/>
        </a:xfrm>
        <a:prstGeom prst="rect">
          <a:avLst/>
        </a:prstGeom>
      </xdr:spPr>
    </xdr:pic>
    <xdr:clientData/>
  </xdr:oneCellAnchor>
  <xdr:twoCellAnchor editAs="oneCell">
    <xdr:from>
      <xdr:col>0</xdr:col>
      <xdr:colOff>9525</xdr:colOff>
      <xdr:row>0</xdr:row>
      <xdr:rowOff>0</xdr:rowOff>
    </xdr:from>
    <xdr:to>
      <xdr:col>1</xdr:col>
      <xdr:colOff>1894178</xdr:colOff>
      <xdr:row>5</xdr:row>
      <xdr:rowOff>114732</xdr:rowOff>
    </xdr:to>
    <xdr:pic>
      <xdr:nvPicPr>
        <xdr:cNvPr id="3" name="Picture 2">
          <a:extLst>
            <a:ext uri="{FF2B5EF4-FFF2-40B4-BE49-F238E27FC236}">
              <a16:creationId xmlns:a16="http://schemas.microsoft.com/office/drawing/2014/main" id="{F2C337C6-9DF7-4B99-8AF2-21222431824D}"/>
            </a:ext>
          </a:extLst>
        </xdr:cNvPr>
        <xdr:cNvPicPr>
          <a:picLocks noChangeAspect="1"/>
        </xdr:cNvPicPr>
      </xdr:nvPicPr>
      <xdr:blipFill>
        <a:blip xmlns:r="http://schemas.openxmlformats.org/officeDocument/2006/relationships" r:embed="rId2"/>
        <a:stretch>
          <a:fillRect/>
        </a:stretch>
      </xdr:blipFill>
      <xdr:spPr>
        <a:xfrm>
          <a:off x="9525" y="0"/>
          <a:ext cx="2198978" cy="1610157"/>
        </a:xfrm>
        <a:prstGeom prst="rect">
          <a:avLst/>
        </a:prstGeom>
      </xdr:spPr>
    </xdr:pic>
    <xdr:clientData/>
  </xdr:twoCellAnchor>
  <xdr:twoCellAnchor editAs="oneCell">
    <xdr:from>
      <xdr:col>1</xdr:col>
      <xdr:colOff>1895475</xdr:colOff>
      <xdr:row>0</xdr:row>
      <xdr:rowOff>0</xdr:rowOff>
    </xdr:from>
    <xdr:to>
      <xdr:col>2</xdr:col>
      <xdr:colOff>914363</xdr:colOff>
      <xdr:row>5</xdr:row>
      <xdr:rowOff>114937</xdr:rowOff>
    </xdr:to>
    <xdr:pic>
      <xdr:nvPicPr>
        <xdr:cNvPr id="4" name="Picture 3">
          <a:extLst>
            <a:ext uri="{FF2B5EF4-FFF2-40B4-BE49-F238E27FC236}">
              <a16:creationId xmlns:a16="http://schemas.microsoft.com/office/drawing/2014/main" id="{56EBB24E-343E-4192-B437-64C64795CFF3}"/>
            </a:ext>
          </a:extLst>
        </xdr:cNvPr>
        <xdr:cNvPicPr>
          <a:picLocks noChangeAspect="1"/>
        </xdr:cNvPicPr>
      </xdr:nvPicPr>
      <xdr:blipFill>
        <a:blip xmlns:r="http://schemas.openxmlformats.org/officeDocument/2006/relationships" r:embed="rId3"/>
        <a:stretch>
          <a:fillRect/>
        </a:stretch>
      </xdr:blipFill>
      <xdr:spPr>
        <a:xfrm>
          <a:off x="2209800" y="0"/>
          <a:ext cx="2295488" cy="16103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7</xdr:col>
      <xdr:colOff>790575</xdr:colOff>
      <xdr:row>0</xdr:row>
      <xdr:rowOff>38100</xdr:rowOff>
    </xdr:from>
    <xdr:ext cx="2462213" cy="971550"/>
    <xdr:pic>
      <xdr:nvPicPr>
        <xdr:cNvPr id="2" name="Picture 1">
          <a:extLst>
            <a:ext uri="{FF2B5EF4-FFF2-40B4-BE49-F238E27FC236}">
              <a16:creationId xmlns:a16="http://schemas.microsoft.com/office/drawing/2014/main" id="{0DDF0970-22C6-46B0-8727-41029B7650E5}"/>
            </a:ext>
          </a:extLst>
        </xdr:cNvPr>
        <xdr:cNvPicPr>
          <a:picLocks noChangeAspect="1"/>
        </xdr:cNvPicPr>
      </xdr:nvPicPr>
      <xdr:blipFill>
        <a:blip xmlns:r="http://schemas.openxmlformats.org/officeDocument/2006/relationships" r:embed="rId1"/>
        <a:stretch>
          <a:fillRect/>
        </a:stretch>
      </xdr:blipFill>
      <xdr:spPr>
        <a:xfrm>
          <a:off x="11249025" y="38100"/>
          <a:ext cx="2462213" cy="971550"/>
        </a:xfrm>
        <a:prstGeom prst="rect">
          <a:avLst/>
        </a:prstGeom>
      </xdr:spPr>
    </xdr:pic>
    <xdr:clientData/>
  </xdr:oneCellAnchor>
  <xdr:twoCellAnchor editAs="oneCell">
    <xdr:from>
      <xdr:col>0</xdr:col>
      <xdr:colOff>0</xdr:colOff>
      <xdr:row>0</xdr:row>
      <xdr:rowOff>0</xdr:rowOff>
    </xdr:from>
    <xdr:to>
      <xdr:col>1</xdr:col>
      <xdr:colOff>1884653</xdr:colOff>
      <xdr:row>5</xdr:row>
      <xdr:rowOff>505257</xdr:rowOff>
    </xdr:to>
    <xdr:pic>
      <xdr:nvPicPr>
        <xdr:cNvPr id="3" name="Picture 2">
          <a:extLst>
            <a:ext uri="{FF2B5EF4-FFF2-40B4-BE49-F238E27FC236}">
              <a16:creationId xmlns:a16="http://schemas.microsoft.com/office/drawing/2014/main" id="{A8F022E2-FB5D-4575-938A-096D5CF83D56}"/>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1885950</xdr:colOff>
      <xdr:row>0</xdr:row>
      <xdr:rowOff>0</xdr:rowOff>
    </xdr:from>
    <xdr:to>
      <xdr:col>2</xdr:col>
      <xdr:colOff>904838</xdr:colOff>
      <xdr:row>5</xdr:row>
      <xdr:rowOff>505462</xdr:rowOff>
    </xdr:to>
    <xdr:pic>
      <xdr:nvPicPr>
        <xdr:cNvPr id="4" name="Picture 3">
          <a:extLst>
            <a:ext uri="{FF2B5EF4-FFF2-40B4-BE49-F238E27FC236}">
              <a16:creationId xmlns:a16="http://schemas.microsoft.com/office/drawing/2014/main" id="{C2613D4E-8859-4F68-8115-39FE551C18E9}"/>
            </a:ext>
          </a:extLst>
        </xdr:cNvPr>
        <xdr:cNvPicPr>
          <a:picLocks noChangeAspect="1"/>
        </xdr:cNvPicPr>
      </xdr:nvPicPr>
      <xdr:blipFill>
        <a:blip xmlns:r="http://schemas.openxmlformats.org/officeDocument/2006/relationships" r:embed="rId3"/>
        <a:stretch>
          <a:fillRect/>
        </a:stretch>
      </xdr:blipFill>
      <xdr:spPr>
        <a:xfrm>
          <a:off x="2200275" y="0"/>
          <a:ext cx="2295488" cy="16103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7</xdr:col>
      <xdr:colOff>542925</xdr:colOff>
      <xdr:row>0</xdr:row>
      <xdr:rowOff>123825</xdr:rowOff>
    </xdr:from>
    <xdr:ext cx="2447925" cy="962025"/>
    <xdr:pic>
      <xdr:nvPicPr>
        <xdr:cNvPr id="2" name="Picture 1">
          <a:extLst>
            <a:ext uri="{FF2B5EF4-FFF2-40B4-BE49-F238E27FC236}">
              <a16:creationId xmlns:a16="http://schemas.microsoft.com/office/drawing/2014/main" id="{158E219E-3A12-46CD-816F-5CE8FB8574D5}"/>
            </a:ext>
          </a:extLst>
        </xdr:cNvPr>
        <xdr:cNvPicPr>
          <a:picLocks noChangeAspect="1"/>
        </xdr:cNvPicPr>
      </xdr:nvPicPr>
      <xdr:blipFill>
        <a:blip xmlns:r="http://schemas.openxmlformats.org/officeDocument/2006/relationships" r:embed="rId1"/>
        <a:stretch>
          <a:fillRect/>
        </a:stretch>
      </xdr:blipFill>
      <xdr:spPr>
        <a:xfrm>
          <a:off x="11029950" y="123825"/>
          <a:ext cx="2447925" cy="962025"/>
        </a:xfrm>
        <a:prstGeom prst="rect">
          <a:avLst/>
        </a:prstGeom>
      </xdr:spPr>
    </xdr:pic>
    <xdr:clientData/>
  </xdr:oneCellAnchor>
  <xdr:twoCellAnchor editAs="oneCell">
    <xdr:from>
      <xdr:col>0</xdr:col>
      <xdr:colOff>0</xdr:colOff>
      <xdr:row>0</xdr:row>
      <xdr:rowOff>0</xdr:rowOff>
    </xdr:from>
    <xdr:to>
      <xdr:col>1</xdr:col>
      <xdr:colOff>1913228</xdr:colOff>
      <xdr:row>5</xdr:row>
      <xdr:rowOff>57582</xdr:rowOff>
    </xdr:to>
    <xdr:pic>
      <xdr:nvPicPr>
        <xdr:cNvPr id="3" name="Picture 2">
          <a:extLst>
            <a:ext uri="{FF2B5EF4-FFF2-40B4-BE49-F238E27FC236}">
              <a16:creationId xmlns:a16="http://schemas.microsoft.com/office/drawing/2014/main" id="{62797FCB-D245-41AB-9971-BF3C2326CEFB}"/>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1914525</xdr:colOff>
      <xdr:row>0</xdr:row>
      <xdr:rowOff>0</xdr:rowOff>
    </xdr:from>
    <xdr:to>
      <xdr:col>2</xdr:col>
      <xdr:colOff>238088</xdr:colOff>
      <xdr:row>5</xdr:row>
      <xdr:rowOff>57787</xdr:rowOff>
    </xdr:to>
    <xdr:pic>
      <xdr:nvPicPr>
        <xdr:cNvPr id="4" name="Picture 3">
          <a:extLst>
            <a:ext uri="{FF2B5EF4-FFF2-40B4-BE49-F238E27FC236}">
              <a16:creationId xmlns:a16="http://schemas.microsoft.com/office/drawing/2014/main" id="{39A5EB03-FB9F-4C1D-AE03-817793908122}"/>
            </a:ext>
          </a:extLst>
        </xdr:cNvPr>
        <xdr:cNvPicPr>
          <a:picLocks noChangeAspect="1"/>
        </xdr:cNvPicPr>
      </xdr:nvPicPr>
      <xdr:blipFill>
        <a:blip xmlns:r="http://schemas.openxmlformats.org/officeDocument/2006/relationships" r:embed="rId3"/>
        <a:stretch>
          <a:fillRect/>
        </a:stretch>
      </xdr:blipFill>
      <xdr:spPr>
        <a:xfrm>
          <a:off x="2200275" y="0"/>
          <a:ext cx="2295488" cy="16103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752475</xdr:colOff>
      <xdr:row>0</xdr:row>
      <xdr:rowOff>152400</xdr:rowOff>
    </xdr:from>
    <xdr:ext cx="2457450" cy="962025"/>
    <xdr:pic>
      <xdr:nvPicPr>
        <xdr:cNvPr id="2" name="Picture 1">
          <a:extLst>
            <a:ext uri="{FF2B5EF4-FFF2-40B4-BE49-F238E27FC236}">
              <a16:creationId xmlns:a16="http://schemas.microsoft.com/office/drawing/2014/main" id="{32BEBDA6-07B5-4795-8DD7-C4A04C2AFFCB}"/>
            </a:ext>
          </a:extLst>
        </xdr:cNvPr>
        <xdr:cNvPicPr>
          <a:picLocks noChangeAspect="1"/>
        </xdr:cNvPicPr>
      </xdr:nvPicPr>
      <xdr:blipFill>
        <a:blip xmlns:r="http://schemas.openxmlformats.org/officeDocument/2006/relationships" r:embed="rId1"/>
        <a:stretch>
          <a:fillRect/>
        </a:stretch>
      </xdr:blipFill>
      <xdr:spPr>
        <a:xfrm>
          <a:off x="8867775" y="152400"/>
          <a:ext cx="2457450" cy="962025"/>
        </a:xfrm>
        <a:prstGeom prst="rect">
          <a:avLst/>
        </a:prstGeom>
      </xdr:spPr>
    </xdr:pic>
    <xdr:clientData/>
  </xdr:oneCellAnchor>
  <xdr:twoCellAnchor editAs="oneCell">
    <xdr:from>
      <xdr:col>0</xdr:col>
      <xdr:colOff>0</xdr:colOff>
      <xdr:row>0</xdr:row>
      <xdr:rowOff>0</xdr:rowOff>
    </xdr:from>
    <xdr:to>
      <xdr:col>1</xdr:col>
      <xdr:colOff>1846553</xdr:colOff>
      <xdr:row>5</xdr:row>
      <xdr:rowOff>19482</xdr:rowOff>
    </xdr:to>
    <xdr:pic>
      <xdr:nvPicPr>
        <xdr:cNvPr id="3" name="Picture 2">
          <a:extLst>
            <a:ext uri="{FF2B5EF4-FFF2-40B4-BE49-F238E27FC236}">
              <a16:creationId xmlns:a16="http://schemas.microsoft.com/office/drawing/2014/main" id="{D0005BA9-6FA1-4FFE-BC7A-5584DF611742}"/>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1847850</xdr:colOff>
      <xdr:row>0</xdr:row>
      <xdr:rowOff>0</xdr:rowOff>
    </xdr:from>
    <xdr:to>
      <xdr:col>2</xdr:col>
      <xdr:colOff>685763</xdr:colOff>
      <xdr:row>5</xdr:row>
      <xdr:rowOff>19687</xdr:rowOff>
    </xdr:to>
    <xdr:pic>
      <xdr:nvPicPr>
        <xdr:cNvPr id="4" name="Picture 3">
          <a:extLst>
            <a:ext uri="{FF2B5EF4-FFF2-40B4-BE49-F238E27FC236}">
              <a16:creationId xmlns:a16="http://schemas.microsoft.com/office/drawing/2014/main" id="{87B05409-F9E2-4D57-B256-08A90CF9678D}"/>
            </a:ext>
          </a:extLst>
        </xdr:cNvPr>
        <xdr:cNvPicPr>
          <a:picLocks noChangeAspect="1"/>
        </xdr:cNvPicPr>
      </xdr:nvPicPr>
      <xdr:blipFill>
        <a:blip xmlns:r="http://schemas.openxmlformats.org/officeDocument/2006/relationships" r:embed="rId3"/>
        <a:stretch>
          <a:fillRect/>
        </a:stretch>
      </xdr:blipFill>
      <xdr:spPr>
        <a:xfrm>
          <a:off x="2200275" y="0"/>
          <a:ext cx="2295488" cy="16103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7</xdr:col>
      <xdr:colOff>371475</xdr:colOff>
      <xdr:row>0</xdr:row>
      <xdr:rowOff>57150</xdr:rowOff>
    </xdr:from>
    <xdr:ext cx="2443163" cy="971550"/>
    <xdr:pic>
      <xdr:nvPicPr>
        <xdr:cNvPr id="2" name="Picture 1">
          <a:extLst>
            <a:ext uri="{FF2B5EF4-FFF2-40B4-BE49-F238E27FC236}">
              <a16:creationId xmlns:a16="http://schemas.microsoft.com/office/drawing/2014/main" id="{ED133EDF-577C-466E-94D5-D92B60A853D2}"/>
            </a:ext>
          </a:extLst>
        </xdr:cNvPr>
        <xdr:cNvPicPr>
          <a:picLocks noChangeAspect="1"/>
        </xdr:cNvPicPr>
      </xdr:nvPicPr>
      <xdr:blipFill>
        <a:blip xmlns:r="http://schemas.openxmlformats.org/officeDocument/2006/relationships" r:embed="rId1"/>
        <a:stretch>
          <a:fillRect/>
        </a:stretch>
      </xdr:blipFill>
      <xdr:spPr>
        <a:xfrm>
          <a:off x="10934700" y="57150"/>
          <a:ext cx="2443163" cy="971550"/>
        </a:xfrm>
        <a:prstGeom prst="rect">
          <a:avLst/>
        </a:prstGeom>
      </xdr:spPr>
    </xdr:pic>
    <xdr:clientData/>
  </xdr:oneCellAnchor>
  <xdr:twoCellAnchor editAs="oneCell">
    <xdr:from>
      <xdr:col>0</xdr:col>
      <xdr:colOff>0</xdr:colOff>
      <xdr:row>0</xdr:row>
      <xdr:rowOff>0</xdr:rowOff>
    </xdr:from>
    <xdr:to>
      <xdr:col>1</xdr:col>
      <xdr:colOff>1922753</xdr:colOff>
      <xdr:row>5</xdr:row>
      <xdr:rowOff>505257</xdr:rowOff>
    </xdr:to>
    <xdr:pic>
      <xdr:nvPicPr>
        <xdr:cNvPr id="3" name="Picture 2">
          <a:extLst>
            <a:ext uri="{FF2B5EF4-FFF2-40B4-BE49-F238E27FC236}">
              <a16:creationId xmlns:a16="http://schemas.microsoft.com/office/drawing/2014/main" id="{7B742343-AB22-490E-A5B1-2B9E39168235}"/>
            </a:ext>
          </a:extLst>
        </xdr:cNvPr>
        <xdr:cNvPicPr>
          <a:picLocks noChangeAspect="1"/>
        </xdr:cNvPicPr>
      </xdr:nvPicPr>
      <xdr:blipFill>
        <a:blip xmlns:r="http://schemas.openxmlformats.org/officeDocument/2006/relationships" r:embed="rId2"/>
        <a:stretch>
          <a:fillRect/>
        </a:stretch>
      </xdr:blipFill>
      <xdr:spPr>
        <a:xfrm>
          <a:off x="0" y="0"/>
          <a:ext cx="2198978" cy="1610157"/>
        </a:xfrm>
        <a:prstGeom prst="rect">
          <a:avLst/>
        </a:prstGeom>
      </xdr:spPr>
    </xdr:pic>
    <xdr:clientData/>
  </xdr:twoCellAnchor>
  <xdr:twoCellAnchor editAs="oneCell">
    <xdr:from>
      <xdr:col>1</xdr:col>
      <xdr:colOff>1919288</xdr:colOff>
      <xdr:row>0</xdr:row>
      <xdr:rowOff>0</xdr:rowOff>
    </xdr:from>
    <xdr:to>
      <xdr:col>2</xdr:col>
      <xdr:colOff>1219163</xdr:colOff>
      <xdr:row>5</xdr:row>
      <xdr:rowOff>505462</xdr:rowOff>
    </xdr:to>
    <xdr:pic>
      <xdr:nvPicPr>
        <xdr:cNvPr id="4" name="Picture 3">
          <a:extLst>
            <a:ext uri="{FF2B5EF4-FFF2-40B4-BE49-F238E27FC236}">
              <a16:creationId xmlns:a16="http://schemas.microsoft.com/office/drawing/2014/main" id="{A583DFC2-4AB8-41D0-AF61-DDAABB500E9A}"/>
            </a:ext>
          </a:extLst>
        </xdr:cNvPr>
        <xdr:cNvPicPr>
          <a:picLocks noChangeAspect="1"/>
        </xdr:cNvPicPr>
      </xdr:nvPicPr>
      <xdr:blipFill>
        <a:blip xmlns:r="http://schemas.openxmlformats.org/officeDocument/2006/relationships" r:embed="rId3"/>
        <a:stretch>
          <a:fillRect/>
        </a:stretch>
      </xdr:blipFill>
      <xdr:spPr>
        <a:xfrm>
          <a:off x="2200275" y="0"/>
          <a:ext cx="2295488" cy="16103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iberniareit.sharepoint.com/fina/Reporting/Annual%20Report%202019/AR%202019%20Template%20v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iberniareit.sharepoint.com/Users/hnesb/Documents/REIT/Company%20only%20management%20accou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iberniareit.sharepoint.com/fina/Reporting/Annual%20Report%202018/Sustainability/2017%20EPRA%20Summary%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iberniareit.sharepoint.com/Users/hnesb/Documents/REIT/Copy%20of%20(V%20II)%20Draft%20Management%20Accounts%20(Consolidated)%20QE%20Mar%20'17%20-%20sent%20to%20Deloitte%20mess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iberniareit.sharepoint.com/Users/heather/Documents/Copy%20of%20Annual%20Report%20Tables%202016%20V21.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hiberniareit.sharepoint.com/sustain/reports/CSRD/2024%20Assurance/Assurance%20Tracker/Hibernia%20Assurance%20KPI%20Tracker.xlsx" TargetMode="External"/><Relationship Id="rId1" Type="http://schemas.openxmlformats.org/officeDocument/2006/relationships/externalLinkPath" Target="https://hiberniareit.sharepoint.com/sustain/reports/CSRD/2024%20Assurance/Assurance%20Tracker/Hibernia%20Assurance%20KPI%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reserve reconciliation"/>
      <sheetName val="Best practice disclosures SBP"/>
      <sheetName val="Group FS&gt;"/>
      <sheetName val="CIS"/>
      <sheetName val="CSCI"/>
      <sheetName val="CSFP"/>
      <sheetName val="CSCE"/>
      <sheetName val="CSCF"/>
      <sheetName val="Notes&gt;"/>
      <sheetName val="Group P+L notes"/>
      <sheetName val="Balance sheet notes"/>
      <sheetName val="Net debt rec"/>
      <sheetName val="Financial management and risk"/>
      <sheetName val="Interest rate "/>
      <sheetName val="Impact of IFRS 9 and 15"/>
      <sheetName val="segments"/>
      <sheetName val="Rental income by Tenant Industr"/>
      <sheetName val="Assets analysed Group"/>
      <sheetName val="6210 Group"/>
      <sheetName val="Liabilities Group"/>
      <sheetName val="Accruals analysis Group"/>
      <sheetName val="Creditors Group"/>
      <sheetName val="Dividends note"/>
      <sheetName val="SBP at financial year end"/>
      <sheetName val="Performance fee reserve movemen"/>
      <sheetName val="Vendor shares reconciliation"/>
      <sheetName val="Employee SBP reserve reconcilia"/>
      <sheetName val="20 day SP"/>
      <sheetName val="TB GROUP"/>
      <sheetName val="Supplementary&gt;&gt;"/>
      <sheetName val="five year record"/>
      <sheetName val="totp 10"/>
      <sheetName val="EPRA &gt;&gt;"/>
      <sheetName val="EPRA sheet"/>
      <sheetName val="EPRA summary"/>
      <sheetName val="EPRA tables"/>
      <sheetName val="Company &gt;&gt;"/>
      <sheetName val="Company CSFP"/>
      <sheetName val="Company SCE"/>
      <sheetName val="Company CSCF"/>
      <sheetName val="old"/>
      <sheetName val="TB Company only"/>
      <sheetName val="Company notes &gt;&gt;"/>
      <sheetName val="Company notes"/>
      <sheetName val="Balance sheet notes company"/>
      <sheetName val="Financial management Company"/>
      <sheetName val="Assets analysed Company "/>
      <sheetName val="Liabilities Company"/>
      <sheetName val="Company Contract Liabilities"/>
      <sheetName val="6210 Company Only "/>
      <sheetName val="Workings sheets&gt;&gt;"/>
      <sheetName val="ip analysis Group "/>
      <sheetName val="ip analysis Company"/>
      <sheetName val="IP Analysis ledger  Group"/>
      <sheetName val="IP Analysis ledger company"/>
      <sheetName val="IP Analysis ledger Company OLD"/>
      <sheetName val="tb pivot  by gl cat"/>
      <sheetName val="nch disposal"/>
      <sheetName val="77sjrq disposal"/>
      <sheetName val="refinancing"/>
      <sheetName val="TB Download"/>
      <sheetName val="ip moves"/>
      <sheetName val="gl on property sales"/>
      <sheetName val="IC Loan moves"/>
      <sheetName val="Company S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andLossIncomeStatement"/>
      <sheetName val="BalanceSheet"/>
      <sheetName val="Control"/>
      <sheetName val="P&amp;L"/>
      <sheetName val="BS"/>
      <sheetName val="AgedDebtorsDetailReport"/>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Queries"/>
      <sheetName val="JLL portfolio environment total"/>
      <sheetName val="Combined  all"/>
      <sheetName val="JLL own office environment"/>
      <sheetName val="All data"/>
      <sheetName val="LFL Overview excl SD"/>
      <sheetName val="ABS Overview incl New"/>
      <sheetName val="ABS Summary Office"/>
      <sheetName val="ss ABS Summary Off + Res"/>
      <sheetName val="ss Summary"/>
      <sheetName val="ss Summary excl 1DC"/>
      <sheetName val="Clan 1"/>
      <sheetName val="Clan 2"/>
      <sheetName val="Clan 5"/>
      <sheetName val="Mar"/>
      <sheetName val="Clan 1-5 water alloc"/>
      <sheetName val="CNT "/>
      <sheetName val="Cum"/>
      <sheetName val="1 dc"/>
      <sheetName val="Waste allocaton 1 DC"/>
      <sheetName val="Har"/>
      <sheetName val="HOSE"/>
      <sheetName val="Mon"/>
      <sheetName val="Obs"/>
      <sheetName val="Sth Dk"/>
      <sheetName val="dundrum view 2017"/>
      <sheetName val="Wyckham 2017"/>
      <sheetName val="Property overview Summary"/>
      <sheetName val="Wyckham 2016"/>
      <sheetName val="dundrum view 2016 "/>
      <sheetName val="2016 LfL"/>
      <sheetName val="2016 Offices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andLossIncomeStatement"/>
      <sheetName val="BalanceSheet"/>
      <sheetName val="Control"/>
      <sheetName val="P&amp;L"/>
      <sheetName val="BS"/>
      <sheetName val="AgedDebtorsDetailReport"/>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front tables"/>
      <sheetName val="Group FS"/>
      <sheetName val="Income State"/>
      <sheetName val="SOCI"/>
      <sheetName val="SOFP"/>
      <sheetName val="Changes in Equity"/>
      <sheetName val="Cashflow"/>
      <sheetName val="Cashflow notes"/>
      <sheetName val="Op segs"/>
      <sheetName val="Fixed assets"/>
      <sheetName val="Investment P"/>
      <sheetName val="EPRS IP Reconciliation"/>
      <sheetName val="IP Analysis"/>
      <sheetName val="IP Segment"/>
      <sheetName val="PERFORMANCE FEE DETAILS "/>
      <sheetName val="Windmill"/>
      <sheetName val="Directors rem"/>
      <sheetName val="Share capital"/>
      <sheetName val="Fair value note"/>
      <sheetName val="IM balances"/>
      <sheetName val="Company FS"/>
      <sheetName val="Notes"/>
      <sheetName val="Company BS"/>
      <sheetName val="Company P+L"/>
      <sheetName val="Company CF"/>
      <sheetName val="Company CF Notes"/>
      <sheetName val="fuse cash"/>
      <sheetName val="Company SOFE"/>
      <sheetName val="TB"/>
      <sheetName val="Company TB"/>
      <sheetName val="Company Investment P "/>
      <sheetName val="IP Analysis company"/>
      <sheetName val="Company fixed assets"/>
      <sheetName val="Company accounts amendments"/>
      <sheetName val="Supplementary Info"/>
      <sheetName val="EPRA Tables"/>
      <sheetName val="EPRA Tables supplmentary"/>
      <sheetName val="Building summary per EPRA guide"/>
      <sheetName val="Property details"/>
      <sheetName val="Property"/>
      <sheetName val="prtfolio analysis"/>
      <sheetName val="Tenancy"/>
      <sheetName val="adrians rent"/>
      <sheetName val="Unit"/>
      <sheetName val="residential"/>
      <sheetName val="Non core 5102"/>
      <sheetName val="Company Accounts"/>
      <sheetName val="Backup schedules"/>
      <sheetName val="Income smoothing"/>
      <sheetName val="Rent reconciliation"/>
      <sheetName val="Unanalysed property costs"/>
      <sheetName val="Direct property costs "/>
      <sheetName val="Inter company wkn"/>
      <sheetName val="staff costs"/>
      <sheetName val="bs ledger chk"/>
      <sheetName val="BS download"/>
      <sheetName val="plchk"/>
      <sheetName val="P+L Download"/>
      <sheetName val="non core disposals"/>
      <sheetName val="IP Purchase bal"/>
      <sheetName val="debtors listing aged"/>
      <sheetName val="creditors 7010"/>
      <sheetName val="creditors plc list"/>
      <sheetName val="Reval p recon"/>
      <sheetName val="arrangement fees"/>
      <sheetName val="DEBTORS ANALYSIS"/>
      <sheetName val="DEBTORS ANALYSIS Company"/>
      <sheetName val="receivables segment"/>
      <sheetName val="hIBERNIA HOLDING"/>
      <sheetName val="Acruals analysis"/>
      <sheetName val="Accruals analysis company"/>
      <sheetName val="vacancy dets"/>
      <sheetName val="PERFORMANCE FEE POS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er"/>
      <sheetName val="Flow"/>
      <sheetName val="Estimation methodology"/>
      <sheetName val="Lists"/>
      <sheetName val="S&amp;G Emp"/>
      <sheetName val="Diversity Employee Age Distribu"/>
      <sheetName val="H&amp;S Audits List Assets"/>
      <sheetName val="Contents"/>
      <sheetName val="1"/>
      <sheetName val="2"/>
      <sheetName val="3"/>
      <sheetName val="4"/>
      <sheetName val="5"/>
      <sheetName val="6"/>
      <sheetName val="7"/>
      <sheetName val="8"/>
      <sheetName val="9"/>
      <sheetName val="10"/>
      <sheetName val="11"/>
      <sheetName val="Asset list"/>
      <sheetName val="Water 2023"/>
      <sheetName val="Waste 2023"/>
      <sheetName val="Gas 2023"/>
      <sheetName val="Electricity 2023"/>
      <sheetName val="IEA CO2e Conversion Factors"/>
      <sheetName val="Target EUI"/>
      <sheetName val="TCFD savings"/>
      <sheetName val="Hibernia Assurance KPI Tracker"/>
    </sheetNames>
    <sheetDataSet>
      <sheetData sheetId="0"/>
      <sheetData sheetId="1"/>
      <sheetData sheetId="2"/>
      <sheetData sheetId="3"/>
      <sheetData sheetId="4">
        <row r="3">
          <cell r="O3">
            <v>0.38709677419354838</v>
          </cell>
          <cell r="P3">
            <v>1.5015914702659729</v>
          </cell>
          <cell r="Q3">
            <v>34.87096774193548</v>
          </cell>
          <cell r="R3">
            <v>0.83870967741935487</v>
          </cell>
          <cell r="U3">
            <v>9.6774193548387094E-2</v>
          </cell>
          <cell r="X3">
            <v>0.25806451612903225</v>
          </cell>
          <cell r="AC3">
            <v>7.4441687344913151E-3</v>
          </cell>
        </row>
        <row r="5">
          <cell r="O5">
            <v>0.22222222222222221</v>
          </cell>
          <cell r="P5">
            <v>1.1988342857142857</v>
          </cell>
        </row>
      </sheetData>
      <sheetData sheetId="5">
        <row r="6">
          <cell r="D6">
            <v>9.6774193548387094E-2</v>
          </cell>
          <cell r="F6">
            <v>0</v>
          </cell>
          <cell r="L6">
            <v>1</v>
          </cell>
          <cell r="M6">
            <v>2</v>
          </cell>
          <cell r="N6">
            <v>0</v>
          </cell>
          <cell r="O6">
            <v>0</v>
          </cell>
        </row>
        <row r="7">
          <cell r="D7">
            <v>0.61290322580645162</v>
          </cell>
          <cell r="F7">
            <v>0.77777777777777779</v>
          </cell>
          <cell r="L7">
            <v>14</v>
          </cell>
          <cell r="M7">
            <v>5</v>
          </cell>
          <cell r="N7">
            <v>5</v>
          </cell>
          <cell r="O7">
            <v>2</v>
          </cell>
        </row>
        <row r="8">
          <cell r="D8">
            <v>0.29032258064516131</v>
          </cell>
          <cell r="F8">
            <v>0.22222222222222221</v>
          </cell>
          <cell r="L8">
            <v>4</v>
          </cell>
          <cell r="M8">
            <v>5</v>
          </cell>
          <cell r="N8">
            <v>2</v>
          </cell>
          <cell r="O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7">
          <cell r="G27">
            <v>51938240</v>
          </cell>
        </row>
        <row r="29">
          <cell r="G29">
            <v>41514765</v>
          </cell>
          <cell r="H29">
            <v>701.80000000000018</v>
          </cell>
        </row>
        <row r="30">
          <cell r="F30">
            <v>70396</v>
          </cell>
          <cell r="G30">
            <v>32557113</v>
          </cell>
          <cell r="H30">
            <v>548</v>
          </cell>
        </row>
        <row r="31">
          <cell r="G31">
            <v>39913976</v>
          </cell>
          <cell r="H31">
            <v>666.70000000000016</v>
          </cell>
        </row>
      </sheetData>
      <sheetData sheetId="20">
        <row r="11">
          <cell r="B11" t="str">
            <v>Yes</v>
          </cell>
          <cell r="C11" t="str">
            <v>Office</v>
          </cell>
          <cell r="D11" t="str">
            <v>Water - Landlord</v>
          </cell>
          <cell r="S11">
            <v>1671.5989999999999</v>
          </cell>
        </row>
        <row r="12">
          <cell r="B12" t="str">
            <v>Yes</v>
          </cell>
          <cell r="C12" t="str">
            <v>Office</v>
          </cell>
          <cell r="D12" t="str">
            <v>Water - Reused</v>
          </cell>
          <cell r="S12">
            <v>879.40000004599995</v>
          </cell>
        </row>
        <row r="13">
          <cell r="B13" t="str">
            <v>No</v>
          </cell>
          <cell r="C13" t="str">
            <v>Office</v>
          </cell>
          <cell r="D13" t="str">
            <v>Water</v>
          </cell>
          <cell r="S13">
            <v>85.251549000000011</v>
          </cell>
        </row>
        <row r="14">
          <cell r="B14" t="str">
            <v>Yes</v>
          </cell>
          <cell r="C14" t="str">
            <v>Office</v>
          </cell>
          <cell r="D14" t="str">
            <v>Water - Landlord</v>
          </cell>
          <cell r="S14">
            <v>337.74</v>
          </cell>
        </row>
        <row r="15">
          <cell r="C15" t="str">
            <v>Other</v>
          </cell>
          <cell r="D15" t="str">
            <v>Water - Tenant</v>
          </cell>
          <cell r="S15">
            <v>19.776</v>
          </cell>
        </row>
        <row r="16">
          <cell r="C16" t="str">
            <v>Residential</v>
          </cell>
          <cell r="D16" t="str">
            <v>Water - Tenant</v>
          </cell>
          <cell r="S16">
            <v>0</v>
          </cell>
        </row>
        <row r="17">
          <cell r="B17" t="str">
            <v>Yes</v>
          </cell>
          <cell r="C17" t="str">
            <v>Office</v>
          </cell>
          <cell r="D17" t="str">
            <v>Water - Landlord</v>
          </cell>
          <cell r="S17">
            <v>122.59199999999997</v>
          </cell>
        </row>
        <row r="18">
          <cell r="C18" t="str">
            <v>Residential</v>
          </cell>
          <cell r="D18" t="str">
            <v>Water - Tenant</v>
          </cell>
          <cell r="S18">
            <v>47.795999999999992</v>
          </cell>
        </row>
        <row r="19">
          <cell r="B19" t="str">
            <v>Yes</v>
          </cell>
          <cell r="C19" t="str">
            <v>Office</v>
          </cell>
          <cell r="D19" t="str">
            <v>Water - Landlord</v>
          </cell>
          <cell r="S19">
            <v>1130.0800000000002</v>
          </cell>
        </row>
        <row r="20">
          <cell r="B20" t="str">
            <v>Yes</v>
          </cell>
          <cell r="C20" t="str">
            <v>Office</v>
          </cell>
          <cell r="D20" t="str">
            <v>Water - Landlord</v>
          </cell>
          <cell r="S20">
            <v>1070.6010000000001</v>
          </cell>
        </row>
        <row r="21">
          <cell r="B21" t="str">
            <v>Yes</v>
          </cell>
          <cell r="C21" t="str">
            <v>Office</v>
          </cell>
          <cell r="D21" t="str">
            <v>Water - Landlord</v>
          </cell>
          <cell r="S21">
            <v>492.56099999999992</v>
          </cell>
        </row>
        <row r="22">
          <cell r="B22" t="str">
            <v>Yes</v>
          </cell>
          <cell r="C22" t="str">
            <v>Office</v>
          </cell>
          <cell r="D22" t="str">
            <v>Water - Reused</v>
          </cell>
          <cell r="S22">
            <v>0</v>
          </cell>
        </row>
        <row r="23">
          <cell r="B23" t="str">
            <v>Yes</v>
          </cell>
          <cell r="C23" t="str">
            <v>Residential</v>
          </cell>
          <cell r="D23" t="str">
            <v>Water - Tenant</v>
          </cell>
          <cell r="S23">
            <v>257.13600000000002</v>
          </cell>
        </row>
        <row r="24">
          <cell r="C24" t="str">
            <v>Office</v>
          </cell>
          <cell r="D24" t="str">
            <v>Water - Tenant</v>
          </cell>
          <cell r="S24">
            <v>379.66800000000006</v>
          </cell>
        </row>
        <row r="25">
          <cell r="B25" t="str">
            <v>Yes</v>
          </cell>
          <cell r="C25" t="str">
            <v>Office</v>
          </cell>
          <cell r="D25" t="str">
            <v>Water - Landlord</v>
          </cell>
          <cell r="S25">
            <v>470.67</v>
          </cell>
        </row>
        <row r="26">
          <cell r="B26" t="str">
            <v>Yes</v>
          </cell>
          <cell r="C26" t="str">
            <v>Office</v>
          </cell>
          <cell r="D26" t="str">
            <v>Water - Landlord</v>
          </cell>
          <cell r="S26">
            <v>993</v>
          </cell>
        </row>
        <row r="27">
          <cell r="B27" t="str">
            <v>Yes</v>
          </cell>
          <cell r="C27" t="str">
            <v>Office</v>
          </cell>
          <cell r="D27" t="str">
            <v>Water - Landlord</v>
          </cell>
          <cell r="S27">
            <v>2198</v>
          </cell>
        </row>
        <row r="28">
          <cell r="C28" t="str">
            <v>Mixed</v>
          </cell>
          <cell r="D28" t="str">
            <v>Water - Tenant</v>
          </cell>
          <cell r="S28">
            <v>65.50800000000001</v>
          </cell>
        </row>
        <row r="29">
          <cell r="C29" t="str">
            <v>Residential</v>
          </cell>
          <cell r="D29" t="str">
            <v>Water - Tenant</v>
          </cell>
          <cell r="S29">
            <v>60.684000000000019</v>
          </cell>
        </row>
        <row r="30">
          <cell r="C30" t="str">
            <v>Office</v>
          </cell>
          <cell r="D30" t="str">
            <v>Water - Tenant</v>
          </cell>
          <cell r="S30">
            <v>6078.9809999999989</v>
          </cell>
        </row>
        <row r="31">
          <cell r="C31" t="str">
            <v>Office</v>
          </cell>
          <cell r="D31" t="str">
            <v>Water - Tenant</v>
          </cell>
          <cell r="S31">
            <v>44.052</v>
          </cell>
        </row>
        <row r="32">
          <cell r="C32" t="str">
            <v>Office</v>
          </cell>
          <cell r="D32" t="str">
            <v>Water - Tenant</v>
          </cell>
          <cell r="S32">
            <v>30.324000000000009</v>
          </cell>
        </row>
        <row r="33">
          <cell r="B33" t="str">
            <v>Yes</v>
          </cell>
          <cell r="C33" t="str">
            <v>Residential</v>
          </cell>
          <cell r="D33" t="str">
            <v>Water - Tenant</v>
          </cell>
          <cell r="S33">
            <v>717.32400000000007</v>
          </cell>
        </row>
      </sheetData>
      <sheetData sheetId="21">
        <row r="11">
          <cell r="S11">
            <v>3.4519999999999995</v>
          </cell>
        </row>
        <row r="12">
          <cell r="S12">
            <v>10.385</v>
          </cell>
        </row>
        <row r="13">
          <cell r="S13">
            <v>9.1859999999999999</v>
          </cell>
        </row>
      </sheetData>
      <sheetData sheetId="22">
        <row r="11">
          <cell r="B11" t="str">
            <v>Yes</v>
          </cell>
          <cell r="C11" t="str">
            <v>Office</v>
          </cell>
          <cell r="D11" t="str">
            <v>Natural Gas - Whole Building</v>
          </cell>
          <cell r="S11">
            <v>570405.005</v>
          </cell>
        </row>
        <row r="12">
          <cell r="B12" t="str">
            <v>No</v>
          </cell>
          <cell r="C12" t="str">
            <v>Office</v>
          </cell>
          <cell r="D12" t="str">
            <v>Natural Gas</v>
          </cell>
          <cell r="S12">
            <v>29090.655254999998</v>
          </cell>
        </row>
        <row r="13">
          <cell r="B13" t="str">
            <v>Yes</v>
          </cell>
          <cell r="C13" t="str">
            <v>Office</v>
          </cell>
          <cell r="D13" t="str">
            <v>Natural Gas - Whole Building</v>
          </cell>
          <cell r="S13">
            <v>55838.805</v>
          </cell>
        </row>
        <row r="14">
          <cell r="B14" t="str">
            <v>No</v>
          </cell>
          <cell r="C14" t="str">
            <v>Other</v>
          </cell>
          <cell r="D14" t="str">
            <v>Natural Gas - Whole Building - Tenant Control</v>
          </cell>
          <cell r="S14">
            <v>26896.895999999997</v>
          </cell>
        </row>
        <row r="15">
          <cell r="B15" t="str">
            <v>No</v>
          </cell>
          <cell r="C15" t="str">
            <v>Residential</v>
          </cell>
          <cell r="D15" t="str">
            <v>Natural Gas - Whole Building - Tenant Control</v>
          </cell>
          <cell r="S15">
            <v>0</v>
          </cell>
        </row>
        <row r="16">
          <cell r="B16" t="str">
            <v>Yes</v>
          </cell>
          <cell r="C16" t="str">
            <v>Office</v>
          </cell>
          <cell r="D16" t="str">
            <v>Natural Gas - Whole Building</v>
          </cell>
          <cell r="S16">
            <v>37620.165000000001</v>
          </cell>
        </row>
        <row r="17">
          <cell r="B17" t="str">
            <v>No</v>
          </cell>
          <cell r="C17" t="str">
            <v>Residential</v>
          </cell>
          <cell r="D17" t="str">
            <v>Natural Gas - Whole Building - Tenant Control</v>
          </cell>
          <cell r="S17">
            <v>65012.544000000002</v>
          </cell>
        </row>
        <row r="18">
          <cell r="B18" t="str">
            <v>Yes</v>
          </cell>
          <cell r="C18" t="str">
            <v>Office</v>
          </cell>
          <cell r="D18" t="str">
            <v>Natural Gas - Whole Building</v>
          </cell>
          <cell r="S18">
            <v>325591.86000000004</v>
          </cell>
        </row>
        <row r="19">
          <cell r="B19" t="str">
            <v>Yes</v>
          </cell>
          <cell r="C19" t="str">
            <v>Office</v>
          </cell>
          <cell r="D19" t="str">
            <v>Natural Gas - Whole Building</v>
          </cell>
          <cell r="S19">
            <v>510718.89</v>
          </cell>
        </row>
        <row r="20">
          <cell r="B20" t="str">
            <v>Yes</v>
          </cell>
          <cell r="C20" t="str">
            <v>Office</v>
          </cell>
          <cell r="D20" t="str">
            <v>Natural Gas - Whole Building</v>
          </cell>
          <cell r="S20">
            <v>100655.77500000001</v>
          </cell>
        </row>
        <row r="21">
          <cell r="B21" t="str">
            <v>Yes</v>
          </cell>
          <cell r="C21" t="str">
            <v>Residential</v>
          </cell>
          <cell r="D21" t="str">
            <v>Natural Gas - Whole Building - Tenant Control</v>
          </cell>
          <cell r="S21">
            <v>349772.11199999996</v>
          </cell>
        </row>
        <row r="22">
          <cell r="B22" t="str">
            <v>No</v>
          </cell>
          <cell r="C22" t="str">
            <v>Office</v>
          </cell>
          <cell r="D22" t="str">
            <v>Natural Gas - Whole Building - Tenant Control</v>
          </cell>
          <cell r="S22">
            <v>137765</v>
          </cell>
        </row>
        <row r="23">
          <cell r="B23" t="str">
            <v>Yes</v>
          </cell>
          <cell r="C23" t="str">
            <v>Office</v>
          </cell>
          <cell r="D23" t="str">
            <v>Natural Gas - Whole Building</v>
          </cell>
          <cell r="S23">
            <v>420235.92599999998</v>
          </cell>
        </row>
        <row r="24">
          <cell r="B24" t="str">
            <v>Yes</v>
          </cell>
          <cell r="C24" t="str">
            <v>Office</v>
          </cell>
          <cell r="D24" t="str">
            <v>Natural Gas - Whole Building</v>
          </cell>
          <cell r="S24">
            <v>450472.45699999994</v>
          </cell>
        </row>
        <row r="25">
          <cell r="B25" t="str">
            <v>No</v>
          </cell>
          <cell r="C25" t="str">
            <v>Industrial</v>
          </cell>
          <cell r="D25" t="str">
            <v>Natural Gas - Whole Building</v>
          </cell>
          <cell r="S25">
            <v>0</v>
          </cell>
        </row>
        <row r="26">
          <cell r="B26" t="str">
            <v>No</v>
          </cell>
          <cell r="C26" t="str">
            <v>Industrial</v>
          </cell>
          <cell r="D26" t="str">
            <v>Natural Gas - Whole Building - Tenant Control</v>
          </cell>
          <cell r="S26">
            <v>160390.5</v>
          </cell>
        </row>
        <row r="27">
          <cell r="B27" t="str">
            <v>Yes</v>
          </cell>
          <cell r="C27" t="str">
            <v>Office</v>
          </cell>
          <cell r="D27" t="str">
            <v>Natural Gas - Whole Building</v>
          </cell>
          <cell r="S27">
            <v>696442.89199999999</v>
          </cell>
        </row>
        <row r="28">
          <cell r="B28" t="str">
            <v>No</v>
          </cell>
          <cell r="C28" t="str">
            <v>Mixed</v>
          </cell>
          <cell r="D28" t="str">
            <v>Natural Gas - Whole Building</v>
          </cell>
          <cell r="S28">
            <v>89106.504000000001</v>
          </cell>
        </row>
        <row r="29">
          <cell r="B29" t="str">
            <v>No</v>
          </cell>
          <cell r="C29" t="str">
            <v>Office</v>
          </cell>
          <cell r="D29" t="str">
            <v>Natural Gas - Whole Building - Tenant Control</v>
          </cell>
          <cell r="S29">
            <v>1013629</v>
          </cell>
        </row>
        <row r="30">
          <cell r="B30" t="str">
            <v>No</v>
          </cell>
          <cell r="C30" t="str">
            <v>Office</v>
          </cell>
          <cell r="D30" t="str">
            <v>Natural Gas - Whole Building - Tenant Control</v>
          </cell>
          <cell r="S30">
            <v>137047.20000000001</v>
          </cell>
        </row>
        <row r="31">
          <cell r="B31" t="str">
            <v>No</v>
          </cell>
          <cell r="C31" t="str">
            <v>Office</v>
          </cell>
          <cell r="D31" t="str">
            <v>Natural Gas - Whole Building - Tenant Control</v>
          </cell>
          <cell r="S31">
            <v>41249.171999999991</v>
          </cell>
        </row>
        <row r="32">
          <cell r="B32" t="str">
            <v>Yes</v>
          </cell>
          <cell r="C32" t="str">
            <v>Residential</v>
          </cell>
          <cell r="D32" t="str">
            <v>Natural Gas - Whole Building - Tenant Control</v>
          </cell>
          <cell r="S32">
            <v>975747.30000000016</v>
          </cell>
        </row>
      </sheetData>
      <sheetData sheetId="23">
        <row r="11">
          <cell r="B11" t="str">
            <v>Yes</v>
          </cell>
          <cell r="C11" t="str">
            <v>Office</v>
          </cell>
          <cell r="D11" t="str">
            <v>Electric Power - Shared Services</v>
          </cell>
          <cell r="S11">
            <v>500291.04200000002</v>
          </cell>
        </row>
        <row r="12">
          <cell r="B12" t="str">
            <v>Yes</v>
          </cell>
          <cell r="C12" t="str">
            <v>Office</v>
          </cell>
          <cell r="D12" t="str">
            <v>Electric Power - Tenant Space - Tenant Controlled</v>
          </cell>
          <cell r="S12">
            <v>1010341.32</v>
          </cell>
        </row>
        <row r="13">
          <cell r="B13" t="str">
            <v>Yes</v>
          </cell>
          <cell r="C13" t="str">
            <v>Office</v>
          </cell>
          <cell r="D13" t="str">
            <v>Renewable Electricity - Purchased</v>
          </cell>
          <cell r="S13">
            <v>1168252.362</v>
          </cell>
        </row>
        <row r="14">
          <cell r="B14" t="str">
            <v>Yes</v>
          </cell>
          <cell r="C14" t="str">
            <v>Office</v>
          </cell>
          <cell r="D14" t="str">
            <v>Renewable Power - Onsite</v>
          </cell>
          <cell r="S14">
            <v>11233.43</v>
          </cell>
        </row>
        <row r="15">
          <cell r="B15" t="str">
            <v>No</v>
          </cell>
          <cell r="C15" t="str">
            <v>Office</v>
          </cell>
          <cell r="D15" t="str">
            <v>Electric Power</v>
          </cell>
          <cell r="S15">
            <v>28432.320008000002</v>
          </cell>
        </row>
        <row r="16">
          <cell r="B16" t="str">
            <v>Yes</v>
          </cell>
          <cell r="C16" t="str">
            <v>Office</v>
          </cell>
          <cell r="D16" t="str">
            <v>Electric Power - Shared Services</v>
          </cell>
          <cell r="S16">
            <v>164862.67000000001</v>
          </cell>
        </row>
        <row r="17">
          <cell r="B17" t="str">
            <v>Yes</v>
          </cell>
          <cell r="C17" t="str">
            <v>Office</v>
          </cell>
          <cell r="D17" t="str">
            <v>Electric Power - Tenant Space - Tenant Controlled</v>
          </cell>
          <cell r="S17">
            <v>476447</v>
          </cell>
        </row>
        <row r="18">
          <cell r="B18" t="str">
            <v>Yes</v>
          </cell>
          <cell r="C18" t="str">
            <v>Office</v>
          </cell>
          <cell r="D18" t="str">
            <v>Renewable Electricity - Purchased</v>
          </cell>
          <cell r="S18">
            <v>488416.66999999993</v>
          </cell>
        </row>
        <row r="19">
          <cell r="B19" t="str">
            <v>No</v>
          </cell>
          <cell r="C19" t="str">
            <v>Other</v>
          </cell>
          <cell r="D19" t="str">
            <v>Electric Power - Whole Building - Tenant Control</v>
          </cell>
          <cell r="S19">
            <v>5305.1760000000004</v>
          </cell>
        </row>
        <row r="20">
          <cell r="B20" t="str">
            <v>No</v>
          </cell>
          <cell r="C20" t="str">
            <v>Residential</v>
          </cell>
          <cell r="D20" t="str">
            <v>Electric Power - Whole Building - Tenant Control</v>
          </cell>
          <cell r="S20">
            <v>0</v>
          </cell>
        </row>
        <row r="21">
          <cell r="B21" t="str">
            <v>Yes</v>
          </cell>
          <cell r="C21" t="str">
            <v>Office</v>
          </cell>
          <cell r="D21" t="str">
            <v>Electric Power - Shared Services</v>
          </cell>
          <cell r="S21">
            <v>11298.100000000002</v>
          </cell>
        </row>
        <row r="22">
          <cell r="B22" t="str">
            <v>Yes</v>
          </cell>
          <cell r="C22" t="str">
            <v>Office</v>
          </cell>
          <cell r="D22" t="str">
            <v>Electric Power - Tenant Space - Tenant Controlled</v>
          </cell>
          <cell r="S22">
            <v>14446</v>
          </cell>
        </row>
        <row r="23">
          <cell r="B23" t="str">
            <v>Yes</v>
          </cell>
          <cell r="C23" t="str">
            <v>Office</v>
          </cell>
          <cell r="D23" t="str">
            <v>Renewable Electricity - Purchased</v>
          </cell>
          <cell r="S23">
            <v>14593.1</v>
          </cell>
        </row>
        <row r="24">
          <cell r="B24" t="str">
            <v>No</v>
          </cell>
          <cell r="C24" t="str">
            <v>Residential</v>
          </cell>
          <cell r="D24" t="str">
            <v>Electric Power - Whole Building - Tenant Control</v>
          </cell>
          <cell r="S24">
            <v>13924.404</v>
          </cell>
        </row>
        <row r="25">
          <cell r="B25" t="str">
            <v>Yes</v>
          </cell>
          <cell r="C25" t="str">
            <v>Office</v>
          </cell>
          <cell r="D25" t="str">
            <v>Electric Power - Shared Services</v>
          </cell>
          <cell r="S25">
            <v>187236.82199999999</v>
          </cell>
        </row>
        <row r="26">
          <cell r="B26" t="str">
            <v>Yes</v>
          </cell>
          <cell r="C26" t="str">
            <v>Office</v>
          </cell>
          <cell r="D26" t="str">
            <v>Electric Power - Tenant Space - Tenant Controlled</v>
          </cell>
          <cell r="S26">
            <v>283657.5</v>
          </cell>
        </row>
        <row r="27">
          <cell r="B27" t="str">
            <v>Yes</v>
          </cell>
          <cell r="C27" t="str">
            <v>Office</v>
          </cell>
          <cell r="D27" t="str">
            <v>Renewable Electricity - Purchased</v>
          </cell>
          <cell r="S27">
            <v>187236.82199999999</v>
          </cell>
        </row>
        <row r="28">
          <cell r="B28" t="str">
            <v>Yes</v>
          </cell>
          <cell r="C28" t="str">
            <v>Office</v>
          </cell>
          <cell r="D28" t="str">
            <v>Renewable Power - Onsite</v>
          </cell>
          <cell r="S28">
            <v>37920.119999999995</v>
          </cell>
        </row>
        <row r="29">
          <cell r="B29" t="str">
            <v>Yes</v>
          </cell>
          <cell r="C29" t="str">
            <v>Office</v>
          </cell>
          <cell r="D29" t="str">
            <v>Electric Power - Shared Services</v>
          </cell>
          <cell r="S29">
            <v>234559.17699999997</v>
          </cell>
        </row>
        <row r="30">
          <cell r="B30" t="str">
            <v>Yes</v>
          </cell>
          <cell r="C30" t="str">
            <v>Office</v>
          </cell>
          <cell r="D30" t="str">
            <v>Electric Power - Tenant Space - Tenant Controlled</v>
          </cell>
          <cell r="S30">
            <v>432029</v>
          </cell>
        </row>
        <row r="31">
          <cell r="B31" t="str">
            <v>Yes</v>
          </cell>
          <cell r="C31" t="str">
            <v>Office</v>
          </cell>
          <cell r="D31" t="str">
            <v>Renewable Electricity - Purchased</v>
          </cell>
          <cell r="S31">
            <v>234559.17699999997</v>
          </cell>
        </row>
        <row r="32">
          <cell r="B32" t="str">
            <v>Yes</v>
          </cell>
          <cell r="C32" t="str">
            <v>Office</v>
          </cell>
          <cell r="D32" t="str">
            <v>Electric Power - Shared Services</v>
          </cell>
          <cell r="S32">
            <v>173129.78299999997</v>
          </cell>
        </row>
        <row r="33">
          <cell r="B33" t="str">
            <v>Yes</v>
          </cell>
          <cell r="C33" t="str">
            <v>Office</v>
          </cell>
          <cell r="D33" t="str">
            <v>Electric Power - Tenant Space - Tenant Controlled</v>
          </cell>
          <cell r="S33">
            <v>359238</v>
          </cell>
        </row>
        <row r="34">
          <cell r="B34" t="str">
            <v>Yes</v>
          </cell>
          <cell r="C34" t="str">
            <v>Office</v>
          </cell>
          <cell r="D34" t="str">
            <v>Renewable Electricity - Purchased</v>
          </cell>
          <cell r="S34">
            <v>532367.78350000014</v>
          </cell>
        </row>
        <row r="35">
          <cell r="B35" t="str">
            <v>Yes</v>
          </cell>
          <cell r="C35" t="str">
            <v>Office</v>
          </cell>
          <cell r="D35" t="str">
            <v>Renewable Power - Onsite</v>
          </cell>
          <cell r="S35">
            <v>0</v>
          </cell>
        </row>
        <row r="36">
          <cell r="B36" t="str">
            <v>Yes</v>
          </cell>
          <cell r="C36" t="str">
            <v>Residential</v>
          </cell>
          <cell r="D36" t="str">
            <v>Electric Power - Shared Services</v>
          </cell>
          <cell r="S36">
            <v>80844.44</v>
          </cell>
        </row>
        <row r="37">
          <cell r="B37" t="str">
            <v>Yes</v>
          </cell>
          <cell r="C37" t="str">
            <v>Residential</v>
          </cell>
          <cell r="D37" t="str">
            <v>Electric Power - Tenant Space - Tenant Controlled</v>
          </cell>
          <cell r="S37">
            <v>161789</v>
          </cell>
        </row>
        <row r="38">
          <cell r="B38" t="str">
            <v>Yes</v>
          </cell>
          <cell r="C38" t="str">
            <v>Residential</v>
          </cell>
          <cell r="D38" t="str">
            <v>Renewable Electricity - Purchased</v>
          </cell>
          <cell r="S38">
            <v>242633.44</v>
          </cell>
        </row>
        <row r="39">
          <cell r="B39" t="str">
            <v>No</v>
          </cell>
          <cell r="C39" t="str">
            <v>Office</v>
          </cell>
          <cell r="D39" t="str">
            <v>Electric Power - Whole Building - Tenant Control</v>
          </cell>
          <cell r="S39">
            <v>289871.76</v>
          </cell>
        </row>
        <row r="40">
          <cell r="B40" t="str">
            <v>No</v>
          </cell>
          <cell r="C40" t="str">
            <v>Office</v>
          </cell>
          <cell r="D40" t="str">
            <v>Renewable Electricity - Purchased</v>
          </cell>
          <cell r="S40">
            <v>289871.76</v>
          </cell>
        </row>
        <row r="41">
          <cell r="B41" t="str">
            <v>Yes</v>
          </cell>
          <cell r="C41" t="str">
            <v>Office</v>
          </cell>
          <cell r="D41" t="str">
            <v>Electric Power - Shared Services</v>
          </cell>
          <cell r="S41">
            <v>267946.152</v>
          </cell>
        </row>
        <row r="42">
          <cell r="B42" t="str">
            <v>Yes</v>
          </cell>
          <cell r="C42" t="str">
            <v>Office</v>
          </cell>
          <cell r="D42" t="str">
            <v>Electric Power - Tenant Space - Tenant Controlled</v>
          </cell>
          <cell r="S42">
            <v>358186.91000000003</v>
          </cell>
        </row>
        <row r="43">
          <cell r="B43" t="str">
            <v>Yes</v>
          </cell>
          <cell r="C43" t="str">
            <v>Office</v>
          </cell>
          <cell r="D43" t="str">
            <v>Renewable Electricity - Purchased</v>
          </cell>
          <cell r="S43">
            <v>626133.06199999992</v>
          </cell>
        </row>
        <row r="44">
          <cell r="B44" t="str">
            <v>Yes</v>
          </cell>
          <cell r="C44" t="str">
            <v>Office</v>
          </cell>
          <cell r="D44" t="str">
            <v>Electric Power - Shared Services</v>
          </cell>
          <cell r="S44">
            <v>375300.86</v>
          </cell>
        </row>
        <row r="45">
          <cell r="B45" t="str">
            <v>Yes</v>
          </cell>
          <cell r="C45" t="str">
            <v>Office</v>
          </cell>
          <cell r="D45" t="str">
            <v>Electric Power - Tenant Space - Tenant Controlled</v>
          </cell>
          <cell r="S45">
            <v>305464.7</v>
          </cell>
        </row>
        <row r="46">
          <cell r="B46" t="str">
            <v>Yes</v>
          </cell>
          <cell r="C46" t="str">
            <v>Office</v>
          </cell>
          <cell r="D46" t="str">
            <v>Electric Power - Whole Building</v>
          </cell>
          <cell r="S46">
            <v>0</v>
          </cell>
        </row>
        <row r="47">
          <cell r="B47" t="str">
            <v>Yes</v>
          </cell>
          <cell r="C47" t="str">
            <v>Office</v>
          </cell>
          <cell r="D47" t="str">
            <v>Renewable Electricity - Purchased</v>
          </cell>
          <cell r="S47">
            <v>680765.56</v>
          </cell>
        </row>
        <row r="48">
          <cell r="B48" t="str">
            <v>No</v>
          </cell>
          <cell r="C48" t="str">
            <v>Industrial</v>
          </cell>
          <cell r="D48" t="str">
            <v>Electric Power - Whole Building - Tenant Control</v>
          </cell>
          <cell r="S48">
            <v>553012.5</v>
          </cell>
        </row>
        <row r="49">
          <cell r="B49" t="str">
            <v>Yes</v>
          </cell>
          <cell r="C49" t="str">
            <v>Office</v>
          </cell>
          <cell r="D49" t="str">
            <v>Electric Power - Shared Services</v>
          </cell>
          <cell r="S49">
            <v>418543.89599999995</v>
          </cell>
        </row>
        <row r="50">
          <cell r="B50" t="str">
            <v>Yes</v>
          </cell>
          <cell r="C50" t="str">
            <v>Office</v>
          </cell>
          <cell r="D50" t="str">
            <v>Electric Power - Tenant Space - Tenant Controlled</v>
          </cell>
          <cell r="S50">
            <v>632224.50100000005</v>
          </cell>
        </row>
        <row r="51">
          <cell r="B51" t="str">
            <v>Yes</v>
          </cell>
          <cell r="C51" t="str">
            <v>Office</v>
          </cell>
          <cell r="D51" t="str">
            <v>Renewable Electricity - Purchased</v>
          </cell>
          <cell r="S51">
            <v>757679.39999999991</v>
          </cell>
        </row>
        <row r="52">
          <cell r="B52" t="str">
            <v>No</v>
          </cell>
          <cell r="C52" t="str">
            <v>Mixed</v>
          </cell>
          <cell r="D52" t="str">
            <v>Electric Power - Shared Services</v>
          </cell>
          <cell r="S52">
            <v>0</v>
          </cell>
        </row>
        <row r="53">
          <cell r="B53" t="str">
            <v>No</v>
          </cell>
          <cell r="C53" t="str">
            <v>Mixed</v>
          </cell>
          <cell r="D53" t="str">
            <v>Electric Power - Whole Building - Tenant Control</v>
          </cell>
          <cell r="S53">
            <v>23613</v>
          </cell>
        </row>
        <row r="54">
          <cell r="B54" t="str">
            <v>No</v>
          </cell>
          <cell r="C54" t="str">
            <v>Mixed</v>
          </cell>
          <cell r="D54" t="str">
            <v>Electric Power - Whole Building</v>
          </cell>
          <cell r="S54">
            <v>17574.576000000005</v>
          </cell>
        </row>
        <row r="55">
          <cell r="B55" t="str">
            <v>No</v>
          </cell>
          <cell r="C55" t="str">
            <v>Mixed</v>
          </cell>
          <cell r="D55" t="str">
            <v>Renewable Electricity - Purchased</v>
          </cell>
          <cell r="S55">
            <v>0</v>
          </cell>
        </row>
        <row r="56">
          <cell r="B56" t="str">
            <v>No</v>
          </cell>
          <cell r="C56" t="str">
            <v>Residential</v>
          </cell>
          <cell r="D56" t="str">
            <v>Electric Power - Whole Building - Tenant Control</v>
          </cell>
          <cell r="S56">
            <v>210182</v>
          </cell>
        </row>
        <row r="57">
          <cell r="B57" t="str">
            <v>No</v>
          </cell>
          <cell r="C57" t="str">
            <v>Residential</v>
          </cell>
          <cell r="D57" t="str">
            <v>Renewable Electricity - Purchased</v>
          </cell>
          <cell r="S57">
            <v>0</v>
          </cell>
        </row>
        <row r="58">
          <cell r="B58" t="str">
            <v>No</v>
          </cell>
          <cell r="C58" t="str">
            <v>Office</v>
          </cell>
          <cell r="D58" t="str">
            <v>Electric Power - Whole Building - Tenant Control</v>
          </cell>
          <cell r="S58">
            <v>907480</v>
          </cell>
        </row>
        <row r="59">
          <cell r="B59" t="str">
            <v>No</v>
          </cell>
          <cell r="C59" t="str">
            <v>Office</v>
          </cell>
          <cell r="D59" t="str">
            <v>Renewable Electricity - Purchased</v>
          </cell>
          <cell r="S59">
            <v>907480</v>
          </cell>
        </row>
        <row r="60">
          <cell r="B60" t="str">
            <v>No</v>
          </cell>
          <cell r="C60" t="str">
            <v>Office</v>
          </cell>
          <cell r="D60" t="str">
            <v>Renewable Power - Onsite</v>
          </cell>
          <cell r="S60">
            <v>0</v>
          </cell>
        </row>
        <row r="61">
          <cell r="B61" t="str">
            <v>No</v>
          </cell>
          <cell r="C61" t="str">
            <v>Office</v>
          </cell>
          <cell r="D61" t="str">
            <v>Electric Power - Whole Building - Tenant Control</v>
          </cell>
          <cell r="S61">
            <v>36089</v>
          </cell>
        </row>
        <row r="62">
          <cell r="B62" t="str">
            <v>No</v>
          </cell>
          <cell r="C62" t="str">
            <v>Office</v>
          </cell>
          <cell r="D62" t="str">
            <v>Renewable Electricity - Purchased</v>
          </cell>
          <cell r="S62">
            <v>0</v>
          </cell>
        </row>
        <row r="63">
          <cell r="B63" t="str">
            <v>No</v>
          </cell>
          <cell r="C63" t="str">
            <v>Office</v>
          </cell>
          <cell r="D63" t="str">
            <v>Electric Power - Whole Building - Tenant Control</v>
          </cell>
          <cell r="S63">
            <v>130564.009665805</v>
          </cell>
        </row>
        <row r="64">
          <cell r="B64" t="str">
            <v>No</v>
          </cell>
          <cell r="C64" t="str">
            <v>Office</v>
          </cell>
          <cell r="D64" t="str">
            <v>Renewable Electricity - Purchased</v>
          </cell>
          <cell r="S64">
            <v>0</v>
          </cell>
        </row>
        <row r="65">
          <cell r="B65" t="str">
            <v>Yes</v>
          </cell>
          <cell r="C65" t="str">
            <v>Residential</v>
          </cell>
          <cell r="D65" t="str">
            <v>Electric Power - Shared Services</v>
          </cell>
          <cell r="S65">
            <v>151679</v>
          </cell>
        </row>
        <row r="66">
          <cell r="B66" t="str">
            <v>Yes</v>
          </cell>
          <cell r="C66" t="str">
            <v>Residential</v>
          </cell>
          <cell r="D66" t="str">
            <v>Electric Power - Tenant Space - Tenant Controlled</v>
          </cell>
          <cell r="S66">
            <v>0</v>
          </cell>
        </row>
        <row r="67">
          <cell r="B67" t="str">
            <v>Yes</v>
          </cell>
          <cell r="C67" t="str">
            <v>Residential</v>
          </cell>
          <cell r="D67" t="str">
            <v>Renewable Electricity - Purchased</v>
          </cell>
          <cell r="S67">
            <v>151679</v>
          </cell>
        </row>
      </sheetData>
      <sheetData sheetId="24">
        <row r="3">
          <cell r="C3">
            <v>316.9384</v>
          </cell>
          <cell r="M3">
            <v>169.846</v>
          </cell>
        </row>
      </sheetData>
      <sheetData sheetId="25"/>
      <sheetData sheetId="26">
        <row r="2">
          <cell r="G2">
            <v>1445000</v>
          </cell>
        </row>
        <row r="3">
          <cell r="G3">
            <v>790000</v>
          </cell>
        </row>
        <row r="4">
          <cell r="G4">
            <v>161.29278600000001</v>
          </cell>
        </row>
      </sheetData>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iberniareg.com/esg/governance" TargetMode="External"/><Relationship Id="rId1" Type="http://schemas.openxmlformats.org/officeDocument/2006/relationships/hyperlink" Target="http://www.hiberniareg.com/esg/esg-report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hiberniareg.com/sustainability/esg/transforming-dublin-responsibly" TargetMode="External"/><Relationship Id="rId1" Type="http://schemas.openxmlformats.org/officeDocument/2006/relationships/hyperlink" Target="http://www.hiberniareg.com/esg/esg-reportin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5CEE-6617-4570-BCD7-40DEE60016F0}">
  <sheetPr codeName="Sheet1">
    <tabColor rgb="FF00B050"/>
  </sheetPr>
  <dimension ref="A2:G19"/>
  <sheetViews>
    <sheetView showGridLines="0" tabSelected="1" zoomScaleNormal="100" workbookViewId="0">
      <selection activeCell="C11" sqref="C11"/>
    </sheetView>
  </sheetViews>
  <sheetFormatPr defaultRowHeight="15" x14ac:dyDescent="0.25"/>
  <cols>
    <col min="1" max="1" width="2.5703125" customWidth="1"/>
    <col min="2" max="2" width="3.7109375" customWidth="1"/>
    <col min="3" max="3" width="48.42578125" customWidth="1"/>
  </cols>
  <sheetData>
    <row r="2" spans="1:7" ht="12" customHeight="1" x14ac:dyDescent="0.5">
      <c r="A2" s="1"/>
    </row>
    <row r="3" spans="1:7" ht="31.5" x14ac:dyDescent="0.5">
      <c r="A3" s="1"/>
      <c r="B3" s="1" t="s">
        <v>0</v>
      </c>
      <c r="D3" s="1"/>
      <c r="G3" s="1"/>
    </row>
    <row r="7" spans="1:7" ht="21.75" thickBot="1" x14ac:dyDescent="0.4">
      <c r="B7" s="2" t="s">
        <v>1</v>
      </c>
      <c r="C7" s="3"/>
      <c r="D7" s="3"/>
      <c r="E7" s="3"/>
      <c r="F7" s="3"/>
    </row>
    <row r="8" spans="1:7" x14ac:dyDescent="0.25">
      <c r="B8">
        <v>1</v>
      </c>
      <c r="C8" s="4" t="s">
        <v>2</v>
      </c>
    </row>
    <row r="9" spans="1:7" x14ac:dyDescent="0.25">
      <c r="B9">
        <v>2</v>
      </c>
      <c r="C9" s="4" t="s">
        <v>3</v>
      </c>
    </row>
    <row r="10" spans="1:7" x14ac:dyDescent="0.25">
      <c r="B10">
        <v>3</v>
      </c>
      <c r="C10" s="4" t="s">
        <v>4</v>
      </c>
    </row>
    <row r="11" spans="1:7" x14ac:dyDescent="0.25">
      <c r="B11">
        <v>4</v>
      </c>
      <c r="C11" s="4" t="s">
        <v>5</v>
      </c>
    </row>
    <row r="12" spans="1:7" x14ac:dyDescent="0.25">
      <c r="B12">
        <v>5</v>
      </c>
      <c r="C12" s="4" t="s">
        <v>6</v>
      </c>
    </row>
    <row r="13" spans="1:7" x14ac:dyDescent="0.25">
      <c r="B13">
        <v>6</v>
      </c>
      <c r="C13" s="4" t="s">
        <v>7</v>
      </c>
    </row>
    <row r="14" spans="1:7" x14ac:dyDescent="0.25">
      <c r="B14">
        <v>7</v>
      </c>
      <c r="C14" s="4" t="s">
        <v>8</v>
      </c>
    </row>
    <row r="15" spans="1:7" x14ac:dyDescent="0.25">
      <c r="B15">
        <v>8</v>
      </c>
      <c r="C15" s="4" t="s">
        <v>9</v>
      </c>
    </row>
    <row r="16" spans="1:7" x14ac:dyDescent="0.25">
      <c r="B16">
        <v>9</v>
      </c>
      <c r="C16" s="4" t="s">
        <v>10</v>
      </c>
    </row>
    <row r="17" spans="2:6" x14ac:dyDescent="0.25">
      <c r="B17">
        <v>10</v>
      </c>
      <c r="C17" s="4" t="s">
        <v>11</v>
      </c>
    </row>
    <row r="18" spans="2:6" x14ac:dyDescent="0.25">
      <c r="B18">
        <v>11</v>
      </c>
      <c r="C18" s="4" t="s">
        <v>12</v>
      </c>
    </row>
    <row r="19" spans="2:6" ht="15.75" thickBot="1" x14ac:dyDescent="0.3">
      <c r="B19" s="3"/>
      <c r="C19" s="3"/>
      <c r="D19" s="3"/>
      <c r="E19" s="3"/>
      <c r="F19" s="3"/>
    </row>
  </sheetData>
  <hyperlinks>
    <hyperlink ref="C8" location="'1'!A1" display="Summary" xr:uid="{79E3BD8C-3D9C-4A28-9F16-0DD8C6892723}"/>
    <hyperlink ref="C9" location="'2'!A1" display="Basis of reporting" xr:uid="{832E8671-8EE9-407F-93EB-23DD5E4EBAA0}"/>
    <hyperlink ref="C10" location="'3'!A1" display="Managed office and residential portfolio - landlord controlled" xr:uid="{60FDC16C-652A-462A-8217-C22D4152AFA4}"/>
    <hyperlink ref="C11" location="'4'!A1" display="Managed office portfolio - landlord controlled" xr:uid="{500E22BC-21B1-4A66-BE27-6345F91342D1}"/>
    <hyperlink ref="C12" location="'5'!A1" display="Managed offices - whole building (landlord and occupier)" xr:uid="{C66BC922-21F0-4403-939A-9A8E3D84EC6F}"/>
    <hyperlink ref="C13" location="'6'!A1" display=" Residential - landlord controlled" xr:uid="{D661D061-4B7E-4269-8F22-A02E5965D973}"/>
    <hyperlink ref="C14" location="'7'!A1" display="Corporate office" xr:uid="{7FDA9306-4D4D-43FD-B964-A2855DA55271}"/>
    <hyperlink ref="C15" location="'8'!A1" display="Greenhouse gas emissions summary" xr:uid="{A93ADFCE-2111-405A-85EE-80CAD8D0F933}"/>
    <hyperlink ref="C16" location="'9'!A1" display="Building certifications" xr:uid="{5105084F-E1A1-4AF3-B6FC-AD755F294786}"/>
    <hyperlink ref="C17" location="'10'!A1" display="TCFD metrics" xr:uid="{FF54E80E-3213-4995-8D3F-4810714DF0D6}"/>
    <hyperlink ref="C18" location="'11'!A1" display="Social and Governance" xr:uid="{BD1DE665-0DAD-4976-A0FE-68D38CCE526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969D5-AFD2-4938-AA19-0E5684ED6ABC}">
  <sheetPr codeName="Sheet10">
    <tabColor rgb="FF00B050"/>
  </sheetPr>
  <dimension ref="A2:O32"/>
  <sheetViews>
    <sheetView showGridLines="0" zoomScale="85" zoomScaleNormal="85" workbookViewId="0">
      <selection sqref="A1:XFD1048576"/>
    </sheetView>
  </sheetViews>
  <sheetFormatPr defaultColWidth="9" defaultRowHeight="15" x14ac:dyDescent="0.25"/>
  <cols>
    <col min="1" max="1" width="3.42578125" style="10" customWidth="1"/>
    <col min="2" max="2" width="47.28515625" style="10" customWidth="1"/>
    <col min="3" max="12" width="9" style="10"/>
    <col min="13" max="13" width="11" style="10" bestFit="1" customWidth="1"/>
    <col min="14" max="16384" width="9" style="10"/>
  </cols>
  <sheetData>
    <row r="2" spans="1:15" ht="12" customHeight="1" x14ac:dyDescent="0.5">
      <c r="A2" s="5"/>
    </row>
    <row r="3" spans="1:15" ht="31.5" x14ac:dyDescent="0.5">
      <c r="A3" s="5"/>
      <c r="B3" s="5"/>
      <c r="C3" s="5"/>
      <c r="E3" s="5" t="s">
        <v>0</v>
      </c>
      <c r="F3" s="5"/>
    </row>
    <row r="5" spans="1:15" ht="54.95" customHeight="1" x14ac:dyDescent="0.25"/>
    <row r="7" spans="1:15" ht="21.75" thickBot="1" x14ac:dyDescent="0.4">
      <c r="B7" s="6" t="s">
        <v>10</v>
      </c>
      <c r="C7" s="37"/>
      <c r="D7" s="37"/>
      <c r="E7" s="37"/>
      <c r="F7" s="37"/>
      <c r="G7" s="37"/>
      <c r="H7" s="37"/>
      <c r="I7" s="37"/>
      <c r="J7" s="37"/>
      <c r="K7" s="37"/>
      <c r="L7" s="37"/>
      <c r="M7" s="37"/>
      <c r="N7" s="37"/>
      <c r="O7" s="37"/>
    </row>
    <row r="9" spans="1:15" s="79" customFormat="1" ht="15.75" x14ac:dyDescent="0.25">
      <c r="B9" s="86" t="s">
        <v>248</v>
      </c>
      <c r="C9" s="86"/>
      <c r="D9" s="86"/>
      <c r="E9" s="86"/>
      <c r="F9" s="86"/>
      <c r="G9" s="86"/>
      <c r="H9" s="86"/>
      <c r="I9" s="86"/>
      <c r="J9" s="87"/>
      <c r="K9" s="87"/>
      <c r="L9" s="87" t="s">
        <v>249</v>
      </c>
      <c r="M9" s="87" t="s">
        <v>250</v>
      </c>
      <c r="N9" s="86"/>
      <c r="O9" s="86" t="s">
        <v>2</v>
      </c>
    </row>
    <row r="10" spans="1:15" x14ac:dyDescent="0.25">
      <c r="B10" s="10" t="s">
        <v>251</v>
      </c>
      <c r="J10" s="17"/>
      <c r="K10" s="17"/>
      <c r="L10" s="17">
        <f>SUMIFS([6]!TblAssets[Column1],[6]!TblAssets[Green Building Certification BD+C], "Platinum")</f>
        <v>3</v>
      </c>
      <c r="M10" s="17">
        <f>SUMIFS([6]!TblAssets[Column1],[6]!TblAssets[Green Building Certification BD+C], "Gold")</f>
        <v>3</v>
      </c>
      <c r="O10" s="10">
        <f>SUM(L10:M10)</f>
        <v>6</v>
      </c>
    </row>
    <row r="11" spans="1:15" x14ac:dyDescent="0.25">
      <c r="B11" s="10" t="s">
        <v>252</v>
      </c>
      <c r="J11" s="17"/>
      <c r="K11" s="17"/>
      <c r="L11" s="88">
        <f>((SUMIFS([6]!TblAssets[Rental Income],[6]!TblAssets[Green Building Certification BD+C], "Platinum"))/'[6]Asset list'!G27)*100</f>
        <v>32.171894927513911</v>
      </c>
      <c r="M11" s="88">
        <f>((SUMIFS([6]!TblAssets[Rental Income],[6]!TblAssets[Green Building Certification BD+C], "Gold"))/'[6]Asset list'!G27)*100</f>
        <v>21.104764042832411</v>
      </c>
      <c r="O11" s="89">
        <f>SUM(L11:M11)</f>
        <v>53.276658970346318</v>
      </c>
    </row>
    <row r="12" spans="1:15" ht="15.75" thickBot="1" x14ac:dyDescent="0.3">
      <c r="B12" s="37" t="s">
        <v>253</v>
      </c>
      <c r="C12" s="37"/>
      <c r="D12" s="37"/>
      <c r="E12" s="37"/>
      <c r="F12" s="37"/>
      <c r="G12" s="37"/>
      <c r="H12" s="37"/>
      <c r="I12" s="37"/>
      <c r="J12" s="90"/>
      <c r="K12" s="90"/>
      <c r="L12" s="91">
        <f>((SUMIFS([6]!TblAssets[Value],[6]!TblAssets[Green Building Certification BD+C], "Platinum",[6]!TblAssets[Managed or Not],"Managed"))/'[6]Asset list'!H30)*100</f>
        <v>30.76642335766423</v>
      </c>
      <c r="M12" s="91">
        <f>((SUMIFS([6]!TblAssets[Value],[6]!TblAssets[Green Building Certification BD+C], "Gold"))/'[6]Asset list'!H30)*100</f>
        <v>42.609489051094897</v>
      </c>
      <c r="N12" s="37"/>
      <c r="O12" s="92">
        <f>SUM(L12:M12)</f>
        <v>73.37591240875912</v>
      </c>
    </row>
    <row r="13" spans="1:15" x14ac:dyDescent="0.25">
      <c r="J13" s="17"/>
      <c r="K13" s="17"/>
      <c r="L13" s="17"/>
      <c r="M13" s="17"/>
    </row>
    <row r="14" spans="1:15" s="79" customFormat="1" ht="15.75" x14ac:dyDescent="0.25">
      <c r="B14" s="86" t="s">
        <v>254</v>
      </c>
      <c r="C14" s="86"/>
      <c r="D14" s="86"/>
      <c r="E14" s="86"/>
      <c r="F14" s="86"/>
      <c r="G14" s="86"/>
      <c r="H14" s="86"/>
      <c r="I14" s="86"/>
      <c r="J14" s="87"/>
      <c r="K14" s="87"/>
      <c r="L14" s="87" t="s">
        <v>249</v>
      </c>
      <c r="M14" s="87" t="s">
        <v>250</v>
      </c>
      <c r="N14" s="86"/>
      <c r="O14" s="86" t="s">
        <v>2</v>
      </c>
    </row>
    <row r="15" spans="1:15" x14ac:dyDescent="0.25">
      <c r="B15" s="10" t="s">
        <v>251</v>
      </c>
      <c r="J15" s="17"/>
      <c r="K15" s="17"/>
      <c r="L15" s="17">
        <f>SUMIFS([6]!TblAssets[Column1],[6]!TblAssets[Green Building Certification O+M], "Platinum")</f>
        <v>0</v>
      </c>
      <c r="M15" s="17">
        <f>SUMIFS([6]!TblAssets[Column1],[6]!TblAssets[Green Building Certification O+M], "Gold")</f>
        <v>1</v>
      </c>
      <c r="O15" s="10">
        <f>SUM(L15:M15)</f>
        <v>1</v>
      </c>
    </row>
    <row r="16" spans="1:15" x14ac:dyDescent="0.25">
      <c r="B16" s="10" t="s">
        <v>252</v>
      </c>
      <c r="J16" s="17"/>
      <c r="K16" s="17"/>
      <c r="L16" s="88">
        <f>((SUMIFS([6]!TblAssets[Rental Income],[6]!TblAssets[Green Building Certification O+M], "Platinum"))/'[6]Asset list'!G27)*100</f>
        <v>0</v>
      </c>
      <c r="M16" s="88">
        <f>((SUMIFS([6]!TblAssets[Rental Income],[6]!TblAssets[Green Building Certification O+M], "Gold"))/'[6]Asset list'!G27)*100</f>
        <v>13.246594416753437</v>
      </c>
      <c r="O16" s="89">
        <f>SUM(L16:M16)</f>
        <v>13.246594416753437</v>
      </c>
    </row>
    <row r="17" spans="2:15" ht="15.75" thickBot="1" x14ac:dyDescent="0.3">
      <c r="B17" s="37" t="s">
        <v>253</v>
      </c>
      <c r="C17" s="37"/>
      <c r="D17" s="37"/>
      <c r="E17" s="37"/>
      <c r="F17" s="37"/>
      <c r="G17" s="37"/>
      <c r="H17" s="37"/>
      <c r="I17" s="37"/>
      <c r="J17" s="90"/>
      <c r="K17" s="90"/>
      <c r="L17" s="91">
        <f>((SUMIFS([6]!TblAssets[Value],[6]!TblAssets[Green Building Certification O+M], "Platinum"))/'[6]Asset list'!H30)*100</f>
        <v>0</v>
      </c>
      <c r="M17" s="91">
        <f>((SUMIFS([6]!TblAssets[Value],[6]!TblAssets[Green Building Certification O+M], "Gold"))/'[6]Asset list'!H30)*100</f>
        <v>20.346715328467152</v>
      </c>
      <c r="N17" s="37"/>
      <c r="O17" s="92">
        <f>SUM(L17:M17)</f>
        <v>20.346715328467152</v>
      </c>
    </row>
    <row r="18" spans="2:15" x14ac:dyDescent="0.25">
      <c r="J18" s="17"/>
      <c r="K18" s="17"/>
      <c r="L18" s="17"/>
      <c r="M18" s="17"/>
    </row>
    <row r="19" spans="2:15" s="79" customFormat="1" ht="15.75" x14ac:dyDescent="0.25">
      <c r="B19" s="86" t="s">
        <v>255</v>
      </c>
      <c r="C19" s="86"/>
      <c r="D19" s="86"/>
      <c r="E19" s="86"/>
      <c r="F19" s="86"/>
      <c r="G19" s="86"/>
      <c r="H19" s="86"/>
      <c r="I19" s="86"/>
      <c r="J19" s="86"/>
      <c r="K19" s="86"/>
      <c r="L19" s="86"/>
      <c r="M19" s="86" t="s">
        <v>256</v>
      </c>
      <c r="N19" s="86"/>
      <c r="O19" s="86" t="s">
        <v>2</v>
      </c>
    </row>
    <row r="20" spans="2:15" x14ac:dyDescent="0.25">
      <c r="B20" s="10" t="s">
        <v>251</v>
      </c>
      <c r="M20" s="10">
        <f>SUMIFS([6]!TblAssets[Column1], [6]!TblAssets[H&amp;W Building Certification], "WELL HSR")</f>
        <v>9</v>
      </c>
      <c r="O20" s="10">
        <f>M20</f>
        <v>9</v>
      </c>
    </row>
    <row r="21" spans="2:15" x14ac:dyDescent="0.25">
      <c r="B21" s="10" t="s">
        <v>257</v>
      </c>
      <c r="M21" s="89">
        <f>((SUMIFS([6]!TblAssets[Rental Income],[6]!TblAssets[H&amp;W Building Certification], "WELL HSR",[6]!TblAssets[Building Type],"Office"))/'[6]Asset list'!G29)*100</f>
        <v>78.422973127753465</v>
      </c>
      <c r="O21" s="89">
        <f>M21</f>
        <v>78.422973127753465</v>
      </c>
    </row>
    <row r="22" spans="2:15" ht="15.75" thickBot="1" x14ac:dyDescent="0.3">
      <c r="B22" s="37" t="s">
        <v>253</v>
      </c>
      <c r="C22" s="37"/>
      <c r="D22" s="37"/>
      <c r="E22" s="37"/>
      <c r="F22" s="37"/>
      <c r="G22" s="37"/>
      <c r="H22" s="37"/>
      <c r="I22" s="37"/>
      <c r="J22" s="37"/>
      <c r="K22" s="37"/>
      <c r="L22" s="37"/>
      <c r="M22" s="92">
        <f>((SUMIFS([6]!TblAssets[Value],[6]!TblAssets[H&amp;W Building Certification], "WELL HSR",[6]!TblAssets[Managed or Not],"Managed",[6]!TblAssets[Building Type],"Office"))/'[6]Asset list'!H30)*100</f>
        <v>100</v>
      </c>
      <c r="N22" s="37"/>
      <c r="O22" s="92">
        <f>M22</f>
        <v>100</v>
      </c>
    </row>
    <row r="24" spans="2:15" s="79" customFormat="1" ht="15.75" x14ac:dyDescent="0.25">
      <c r="B24" s="86" t="s">
        <v>258</v>
      </c>
      <c r="C24" s="86"/>
      <c r="D24" s="86"/>
      <c r="E24" s="86"/>
      <c r="F24" s="86"/>
      <c r="G24" s="86"/>
      <c r="H24" s="86"/>
      <c r="I24" s="86"/>
      <c r="J24" s="86"/>
      <c r="K24" s="86"/>
      <c r="L24" s="86"/>
      <c r="M24" s="86"/>
      <c r="N24" s="86"/>
      <c r="O24" s="86"/>
    </row>
    <row r="25" spans="2:15" ht="15.75" x14ac:dyDescent="0.25">
      <c r="B25" s="86" t="s">
        <v>259</v>
      </c>
      <c r="C25" s="87" t="s">
        <v>260</v>
      </c>
      <c r="D25" s="87" t="s">
        <v>261</v>
      </c>
      <c r="E25" s="87" t="s">
        <v>262</v>
      </c>
      <c r="F25" s="87" t="s">
        <v>263</v>
      </c>
      <c r="G25" s="87" t="s">
        <v>264</v>
      </c>
      <c r="H25" s="87" t="s">
        <v>265</v>
      </c>
      <c r="I25" s="87" t="s">
        <v>266</v>
      </c>
      <c r="J25" s="87" t="s">
        <v>267</v>
      </c>
      <c r="K25" s="87" t="s">
        <v>268</v>
      </c>
      <c r="L25" s="87" t="s">
        <v>269</v>
      </c>
      <c r="M25" s="87" t="s">
        <v>270</v>
      </c>
      <c r="N25" s="87" t="s">
        <v>271</v>
      </c>
      <c r="O25" s="87" t="s">
        <v>272</v>
      </c>
    </row>
    <row r="26" spans="2:15" x14ac:dyDescent="0.25">
      <c r="B26" s="10" t="s">
        <v>273</v>
      </c>
      <c r="C26" s="17">
        <f>((SUMIFS([6]!TblAssets[Value],[6]!TblAssets[BER],"A1",[6]!TblAssets[Building Type], "Office"))/'[6]Asset list'!H29)*100</f>
        <v>0</v>
      </c>
      <c r="D26" s="17">
        <f>((SUMIFS([6]!TblAssets[Value],[6]!TblAssets[BER],"A2",[6]!TblAssets[Building Type], "Office"))/'[6]Asset list'!H29)*100</f>
        <v>0</v>
      </c>
      <c r="E26" s="93">
        <f>((SUMIFS([6]!TblAssets[Value],[6]!TblAssets[BER],"A3",[6]!TblAssets[Building Type], "Office"))/'[6]Asset list'!H29)*100</f>
        <v>35.06697064690794</v>
      </c>
      <c r="F26" s="93">
        <f>((SUMIFS([6]!TblAssets[Value],[6]!TblAssets[BER],"B1",[6]!TblAssets[Building Type], "Office"))/'[6]Asset list'!H29)*100</f>
        <v>19.77771444856084</v>
      </c>
      <c r="G26" s="93">
        <f>((SUMIFS([6]!TblAssets[Value],[6]!TblAssets[BER],"B2",[6]!TblAssets[Building Type], "Office"))/'[6]Asset list'!H29)*100</f>
        <v>16.414933029353087</v>
      </c>
      <c r="H26" s="93">
        <f>((SUMIFS([6]!TblAssets[Value],[6]!TblAssets[BER],"B3",[6]!TblAssets[Building Type], "Office"))/'[6]Asset list'!H29)*100</f>
        <v>6.0416072955257887</v>
      </c>
      <c r="I26" s="93">
        <f>((SUMIFS([6]!TblAssets[Value],[6]!TblAssets[BER],"C1",[6]!TblAssets[Building Type], "Office"))/'[6]Asset list'!H29)*100</f>
        <v>1.5673981191222566</v>
      </c>
      <c r="J26" s="93">
        <f>((SUMIFS([6]!TblAssets[Value],[6]!TblAssets[BER],"C2",[6]!TblAssets[Building Type], "Office"))/'[6]Asset list'!H29)*100</f>
        <v>10.572812767170129</v>
      </c>
      <c r="K26" s="93">
        <f>((SUMIFS([6]!TblAssets[Value],[6]!TblAssets[BER],"C3",[6]!TblAssets[Building Type], "Office"))/'[6]Asset list'!H29)*100</f>
        <v>0.89769165004274698</v>
      </c>
      <c r="L26" s="93">
        <f>((SUMIFS([6]!TblAssets[Value],[6]!TblAssets[BER],"D1",[6]!TblAssets[Building Type], "Office"))/'[6]Asset list'!H29)*100</f>
        <v>4.6166999145055554</v>
      </c>
      <c r="M26" s="93">
        <f>((SUMIFS([6]!TblAssets[Value],[6]!TblAssets[BER],"E1",[6]!TblAssets[Building Type], "Office"))/'[6]Asset list'!H29)*100</f>
        <v>4.8019378740381864</v>
      </c>
      <c r="N26" s="93">
        <f>((SUMIFS([6]!TblAssets[Value],[6]!TblAssets[BER],"F",[6]!TblAssets[Building Type], "Office"))/'[6]Asset list'!H29)*100</f>
        <v>0</v>
      </c>
      <c r="O26" s="93">
        <f>((SUMIFS([6]!TblAssets[Value],[6]!TblAssets[BER],"G",[6]!TblAssets[Building Type], "Office"))/'[6]Asset list'!H29)*100</f>
        <v>0.24223425477343966</v>
      </c>
    </row>
    <row r="27" spans="2:15" ht="15.75" thickBot="1" x14ac:dyDescent="0.3">
      <c r="B27" s="37" t="s">
        <v>274</v>
      </c>
      <c r="C27" s="90">
        <f>((SUMIFS([6]!TblAssets[Value],[6]!TblAssets[BER],"A1",[6]!TblAssets[Managed or Not], "Managed"))/'[6]Asset list'!H31)*100</f>
        <v>0</v>
      </c>
      <c r="D27" s="90">
        <f>((SUMIFS([6]!TblAssets[Value],[6]!TblAssets[BER],"A2",[6]!TblAssets[Managed or Not], "Managed"))/'[6]Asset list'!H31)*100</f>
        <v>0</v>
      </c>
      <c r="E27" s="94">
        <f>((SUMIFS([6]!TblAssets[Value],[6]!TblAssets[BER],"A3",[6]!TblAssets[Managed or Not], "Managed"))/'[6]Asset list'!H31)*100</f>
        <v>18.059097045147741</v>
      </c>
      <c r="F27" s="94">
        <f>((SUMIFS([6]!TblAssets[Value],[6]!TblAssets[BER],"B1",[6]!TblAssets[Managed or Not], "Managed"))/'[6]Asset list'!H31)*100</f>
        <v>20.818959052047393</v>
      </c>
      <c r="G27" s="94">
        <f>((SUMIFS([6]!TblAssets[Value],[6]!TblAssets[BER],"B2",[6]!TblAssets[Managed or Not], "Managed"))/'[6]Asset list'!H31)*100</f>
        <v>30.433478326083684</v>
      </c>
      <c r="H27" s="94">
        <f>((SUMIFS([6]!TblAssets[Value],[6]!TblAssets[BER],"B3",[6]!TblAssets[Managed or Not], "Managed"))/'[6]Asset list'!H31)*100</f>
        <v>11.009449527523623</v>
      </c>
      <c r="I27" s="94">
        <f>((SUMIFS([6]!TblAssets[Value],[6]!TblAssets[BER],"C1",[6]!TblAssets[Managed or Not], "Managed"))/'[6]Asset list'!H31)*100</f>
        <v>0</v>
      </c>
      <c r="J27" s="94">
        <f>((SUMIFS([6]!TblAssets[Value],[6]!TblAssets[BER],"C2",[6]!TblAssets[Managed or Not], "Managed"))/'[6]Asset list'!H31)*100</f>
        <v>9.7645117744112753</v>
      </c>
      <c r="K27" s="94">
        <f>((SUMIFS([6]!TblAssets[Value],[6]!TblAssets[BER],"C3",[6]!TblAssets[Managed or Not], "Managed"))/'[6]Asset list'!H31)*100</f>
        <v>0</v>
      </c>
      <c r="L27" s="94">
        <f>((SUMIFS([6]!TblAssets[Value],[6]!TblAssets[BER],"D1",[6]!TblAssets[Managed or Not], "Managed"))/'[6]Asset list'!H31)*100</f>
        <v>4.8597570121493909</v>
      </c>
      <c r="M27" s="94">
        <f>((SUMIFS([6]!TblAssets[Value],[6]!TblAssets[BER],"E1",[6]!TblAssets[Managed or Not], "Managed"))/'[6]Asset list'!H31)*100</f>
        <v>5.0547472626368677</v>
      </c>
      <c r="N27" s="94">
        <f>((SUMIFS([6]!TblAssets[Value],[6]!TblAssets[BER],"F",[6]!TblAssets[Managed or Not], "Managed"))/'[6]Asset list'!H31)*100</f>
        <v>0</v>
      </c>
      <c r="O27" s="94">
        <f>((SUMIFS([6]!TblAssets[Value],[6]!TblAssets[BER],"G",[6]!TblAssets[Managed or Not], "Managed"))/'[6]Asset list'!H31)*100</f>
        <v>0</v>
      </c>
    </row>
    <row r="28" spans="2:15" x14ac:dyDescent="0.25">
      <c r="C28" s="17"/>
      <c r="D28" s="17"/>
      <c r="E28" s="17"/>
      <c r="F28" s="17"/>
      <c r="G28" s="17"/>
      <c r="H28" s="17"/>
      <c r="I28" s="17"/>
      <c r="J28" s="17"/>
      <c r="K28" s="17"/>
      <c r="L28" s="17"/>
      <c r="M28" s="17"/>
      <c r="N28" s="17"/>
      <c r="O28" s="17"/>
    </row>
    <row r="29" spans="2:15" s="79" customFormat="1" ht="15.75" x14ac:dyDescent="0.25">
      <c r="B29" s="86" t="s">
        <v>275</v>
      </c>
      <c r="C29" s="87"/>
      <c r="D29" s="87"/>
      <c r="E29" s="87"/>
      <c r="F29" s="87"/>
      <c r="G29" s="87"/>
      <c r="H29" s="87"/>
      <c r="I29" s="87"/>
      <c r="J29" s="87"/>
      <c r="K29" s="87"/>
      <c r="L29" s="87"/>
      <c r="M29" s="87"/>
      <c r="N29" s="87"/>
      <c r="O29" s="87"/>
    </row>
    <row r="30" spans="2:15" ht="15.75" x14ac:dyDescent="0.25">
      <c r="B30" s="86" t="s">
        <v>259</v>
      </c>
      <c r="C30" s="87" t="s">
        <v>260</v>
      </c>
      <c r="D30" s="87" t="s">
        <v>261</v>
      </c>
      <c r="E30" s="87" t="s">
        <v>262</v>
      </c>
      <c r="F30" s="87" t="s">
        <v>263</v>
      </c>
      <c r="G30" s="87" t="s">
        <v>264</v>
      </c>
      <c r="H30" s="87" t="s">
        <v>265</v>
      </c>
      <c r="I30" s="87" t="s">
        <v>266</v>
      </c>
      <c r="J30" s="87" t="s">
        <v>267</v>
      </c>
      <c r="K30" s="87" t="s">
        <v>268</v>
      </c>
      <c r="L30" s="87" t="s">
        <v>269</v>
      </c>
      <c r="M30" s="87" t="s">
        <v>270</v>
      </c>
      <c r="N30" s="87" t="s">
        <v>271</v>
      </c>
      <c r="O30" s="87" t="s">
        <v>272</v>
      </c>
    </row>
    <row r="31" spans="2:15" x14ac:dyDescent="0.25">
      <c r="B31" s="10" t="s">
        <v>273</v>
      </c>
      <c r="C31" s="17">
        <f>((SUMIFS([6]!TblAssets[Rental Income],[6]!TblAssets[BER],"A1",[6]!TblAssets[Building Type], "Office"))/'[6]Asset list'!G29)*100</f>
        <v>0</v>
      </c>
      <c r="D31" s="17">
        <f>((SUMIFS([6]!TblAssets[Rental Income],[6]!TblAssets[BER],"A2",[6]!TblAssets[Building Type], "Office"))/'[6]Asset list'!G29)*100</f>
        <v>0</v>
      </c>
      <c r="E31" s="93">
        <f>((SUMIFS([6]!TblAssets[Rental Income],[6]!TblAssets[BER],"A3",[6]!TblAssets[Building Type], "Office"))/'[6]Asset list'!G29)*100</f>
        <v>32.52315411155525</v>
      </c>
      <c r="F31" s="93">
        <f>((SUMIFS([6]!TblAssets[Rental Income],[6]!TblAssets[BER],"B1",[6]!TblAssets[Building Type], "Office"))/'[6]Asset list'!G29)*100</f>
        <v>16.526650217097462</v>
      </c>
      <c r="G31" s="93">
        <f>((SUMIFS([6]!TblAssets[Rental Income],[6]!TblAssets[BER],"B2",[6]!TblAssets[Building Type], "Office"))/'[6]Asset list'!G29)*100</f>
        <v>17.035074147715878</v>
      </c>
      <c r="H31" s="93">
        <f>((SUMIFS([6]!TblAssets[Rental Income],[6]!TblAssets[BER],"B3",[6]!TblAssets[Building Type], "Office"))/'[6]Asset list'!G29)*100</f>
        <v>6.5293227602275961</v>
      </c>
      <c r="I31" s="93">
        <f>((SUMIFS([6]!TblAssets[Rental Income],[6]!TblAssets[BER],"C1",[6]!TblAssets[Building Type], "Office"))/'[6]Asset list'!G29)*100</f>
        <v>2.5092036532062751</v>
      </c>
      <c r="J31" s="93">
        <f>((SUMIFS([6]!TblAssets[Rental Income],[6]!TblAssets[BER],"C2",[6]!TblAssets[Building Type], "Office"))/'[6]Asset list'!G29)*100</f>
        <v>11.545456176856597</v>
      </c>
      <c r="K31" s="93">
        <f>((SUMIFS([6]!TblAssets[Rental Income],[6]!TblAssets[BER],"C3",[6]!TblAssets[Building Type], "Office"))/'[6]Asset list'!G29)*100</f>
        <v>1.2095311150141401</v>
      </c>
      <c r="L31" s="93">
        <f>((SUMIFS([6]!TblAssets[Rental Income],[6]!TblAssets[BER],"D1",[6]!TblAssets[Building Type], "Office"))/'[6]Asset list'!G29)*100</f>
        <v>6.0264414359565812</v>
      </c>
      <c r="M31" s="93">
        <f>((SUMIFS([6]!TblAssets[Rental Income],[6]!TblAssets[BER],"E1",[6]!TblAssets[Building Type], "Office"))/'[6]Asset list'!G29)*100</f>
        <v>5.8229740671782677</v>
      </c>
      <c r="N31" s="93">
        <f>((SUMIFS([6]!TblAssets[Rental Income],[6]!TblAssets[BER],"F",[6]!TblAssets[Building Type], "Office"))/'[6]Asset list'!G29)*100</f>
        <v>0</v>
      </c>
      <c r="O31" s="93">
        <f>((SUMIFS([6]!TblAssets[Rental Income],[6]!TblAssets[BER],"G",[6]!TblAssets[Building Type], "Office"))/'[6]Asset list'!G29)*100</f>
        <v>0.27219231519195641</v>
      </c>
    </row>
    <row r="32" spans="2:15" ht="15.75" thickBot="1" x14ac:dyDescent="0.3">
      <c r="B32" s="37" t="s">
        <v>274</v>
      </c>
      <c r="C32" s="90">
        <f>((SUMIFS([6]!TblAssets[Rental Income],[6]!TblAssets[BER],"A1",[6]!TblAssets[Managed or Not], "Managed"))/'[6]Asset list'!G30)*100</f>
        <v>0</v>
      </c>
      <c r="D32" s="90">
        <f>((SUMIFS([6]!TblAssets[Rental Income],[6]!TblAssets[BER],"A2",[6]!TblAssets[Managed or Not], "Managed"))/'[6]Asset list'!G30)*100</f>
        <v>0</v>
      </c>
      <c r="E32" s="94">
        <f>((SUMIFS([6]!TblAssets[Rental Income],[6]!TblAssets[BER],"A3",[6]!TblAssets[Managed or Not], "Managed"))/'[6]Asset list'!G31)*100</f>
        <v>17.051696378231025</v>
      </c>
      <c r="F32" s="94">
        <f>((SUMIFS([6]!TblAssets[Rental Income],[6]!TblAssets[BER],"B1",[6]!TblAssets[Managed or Not], "Managed"))/'[6]Asset list'!G31)*100</f>
        <v>17.189467669169314</v>
      </c>
      <c r="G32" s="94">
        <f>((SUMIFS([6]!TblAssets[Rental Income],[6]!TblAssets[BER],"B2",[6]!TblAssets[Managed or Not], "Managed"))/'[6]Asset list'!G31)*100</f>
        <v>31.168032470631342</v>
      </c>
      <c r="H32" s="94">
        <f>((SUMIFS([6]!TblAssets[Rental Income],[6]!TblAssets[BER],"B3",[6]!TblAssets[Managed or Not], "Managed"))/'[6]Asset list'!G31)*100</f>
        <v>11.773234518154743</v>
      </c>
      <c r="I32" s="94">
        <f>((SUMIFS([6]!TblAssets[Rental Income],[6]!TblAssets[BER],"C1",[6]!TblAssets[Managed or Not], "Managed"))/'[6]Asset list'!G31)*100</f>
        <v>0</v>
      </c>
      <c r="J32" s="94">
        <f>((SUMIFS([6]!TblAssets[Rental Income],[6]!TblAssets[BER],"C2",[6]!TblAssets[Managed or Not], "Managed"))/'[6]Asset list'!G31)*100</f>
        <v>10.492921076066187</v>
      </c>
      <c r="K32" s="94">
        <f>((SUMIFS([6]!TblAssets[Rental Income],[6]!TblAssets[BER],"C3",[6]!TblAssets[Managed or Not], "Managed"))/'[6]Asset list'!G31)*100</f>
        <v>0</v>
      </c>
      <c r="L32" s="94">
        <f>((SUMIFS([6]!TblAssets[Rental Income],[6]!TblAssets[BER],"D1",[6]!TblAssets[Managed or Not], "Managed"))/'[6]Asset list'!G31)*100</f>
        <v>6.2681377570603338</v>
      </c>
      <c r="M32" s="94">
        <f>((SUMIFS([6]!TblAssets[Rental Income],[6]!TblAssets[BER],"E1",[6]!TblAssets[Managed or Not], "Managed"))/'[6]Asset list'!G31)*100</f>
        <v>6.0565101306870552</v>
      </c>
      <c r="N32" s="94">
        <f>((SUMIFS([6]!TblAssets[Rental Income],[6]!TblAssets[BER],"F",[6]!TblAssets[Managed or Not], "Managed"))/'[6]Asset list'!G30)*100</f>
        <v>0</v>
      </c>
      <c r="O32" s="94">
        <f>((SUMIFS([6]!TblAssets[Rental Income],[6]!TblAssets[BER],"G",[6]!TblAssets[Managed or Not], "Managed"))/'[6]Asset list'!G30)*100</f>
        <v>0</v>
      </c>
    </row>
  </sheetData>
  <sheetProtection algorithmName="SHA-512" hashValue="e5L5TB+681ANbWweo+jSE7yzc7IzKdsZdNQndZXbPFiPvfwrn3oVAM2atbWpt49s6Ico0r5C9PCjJP9vAkAW9A==" saltValue="+knsAWhSxeXMkw+gpl0Ahg==" spinCount="100000" sheet="1" objects="1" scenarios="1"/>
  <pageMargins left="0.7" right="0.7" top="0.75" bottom="0.75" header="0.3" footer="0.3"/>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6B72-E42B-4600-86B8-B4DDDEA91C2C}">
  <sheetPr codeName="Sheet11">
    <tabColor rgb="FF00B050"/>
  </sheetPr>
  <dimension ref="A2:G39"/>
  <sheetViews>
    <sheetView showGridLines="0" zoomScale="85" zoomScaleNormal="85" workbookViewId="0">
      <selection activeCell="F23" sqref="F23"/>
    </sheetView>
  </sheetViews>
  <sheetFormatPr defaultColWidth="9" defaultRowHeight="15" x14ac:dyDescent="0.25"/>
  <cols>
    <col min="1" max="1" width="4.5703125" style="10" customWidth="1"/>
    <col min="2" max="2" width="84.42578125" style="10" customWidth="1"/>
    <col min="3" max="3" width="12.140625" style="10" customWidth="1"/>
    <col min="4" max="5" width="14.140625" style="10" customWidth="1"/>
    <col min="6" max="6" width="12" style="10" customWidth="1"/>
    <col min="7" max="7" width="72.28515625" style="10" customWidth="1"/>
    <col min="8" max="16384" width="9" style="10"/>
  </cols>
  <sheetData>
    <row r="2" spans="1:7" ht="12" customHeight="1" x14ac:dyDescent="0.5">
      <c r="A2" s="5"/>
    </row>
    <row r="3" spans="1:7" ht="31.5" x14ac:dyDescent="0.5">
      <c r="A3" s="5"/>
      <c r="B3" s="5"/>
      <c r="D3" s="5" t="s">
        <v>0</v>
      </c>
      <c r="G3" s="5"/>
    </row>
    <row r="5" spans="1:7" ht="50.45" customHeight="1" x14ac:dyDescent="0.25"/>
    <row r="7" spans="1:7" ht="21.75" thickBot="1" x14ac:dyDescent="0.4">
      <c r="B7" s="6" t="s">
        <v>11</v>
      </c>
      <c r="C7" s="11"/>
      <c r="D7" s="11"/>
      <c r="E7" s="11"/>
      <c r="F7" s="11"/>
      <c r="G7" s="11"/>
    </row>
    <row r="9" spans="1:7" ht="15.75" x14ac:dyDescent="0.25">
      <c r="B9" s="23" t="s">
        <v>276</v>
      </c>
      <c r="C9" s="23" t="s">
        <v>277</v>
      </c>
      <c r="D9" s="95">
        <v>2023</v>
      </c>
      <c r="E9" s="95">
        <v>2022</v>
      </c>
      <c r="F9" s="23" t="s">
        <v>278</v>
      </c>
      <c r="G9" s="23" t="s">
        <v>279</v>
      </c>
    </row>
    <row r="10" spans="1:7" x14ac:dyDescent="0.25">
      <c r="B10" s="10" t="s">
        <v>280</v>
      </c>
      <c r="C10" s="10" t="s">
        <v>139</v>
      </c>
      <c r="D10" s="96">
        <f>'3'!F10</f>
        <v>2614845.4920000006</v>
      </c>
      <c r="E10" s="96">
        <v>2699814</v>
      </c>
      <c r="F10" s="15">
        <f>(D10-E10)/E10</f>
        <v>-3.1471985847913761E-2</v>
      </c>
      <c r="G10" s="10" t="s">
        <v>281</v>
      </c>
    </row>
    <row r="11" spans="1:7" x14ac:dyDescent="0.25">
      <c r="B11" s="10" t="s">
        <v>282</v>
      </c>
      <c r="C11" s="10" t="s">
        <v>139</v>
      </c>
      <c r="D11" s="96">
        <f>D10</f>
        <v>2614845.4920000006</v>
      </c>
      <c r="E11" s="96">
        <f>E10</f>
        <v>2699814</v>
      </c>
      <c r="F11" s="14">
        <f>(D11-E11)/E11</f>
        <v>-3.1471985847913761E-2</v>
      </c>
      <c r="G11" s="10" t="s">
        <v>281</v>
      </c>
    </row>
    <row r="12" spans="1:7" x14ac:dyDescent="0.25">
      <c r="B12" s="10" t="s">
        <v>140</v>
      </c>
      <c r="C12" s="10" t="s">
        <v>139</v>
      </c>
      <c r="D12" s="96">
        <f>D11</f>
        <v>2614845.4920000006</v>
      </c>
      <c r="E12" s="96">
        <v>2699814</v>
      </c>
      <c r="F12" s="15">
        <f t="shared" ref="F12:F32" si="0">(D12-E12)/E12</f>
        <v>-3.1471985847913761E-2</v>
      </c>
      <c r="G12" s="10" t="s">
        <v>281</v>
      </c>
    </row>
    <row r="13" spans="1:7" x14ac:dyDescent="0.25">
      <c r="B13" s="10" t="s">
        <v>142</v>
      </c>
      <c r="C13" s="10" t="s">
        <v>139</v>
      </c>
      <c r="D13" s="96">
        <f>'3'!F12</f>
        <v>3167981.7749999999</v>
      </c>
      <c r="E13" s="96">
        <v>3539037</v>
      </c>
      <c r="F13" s="15">
        <f t="shared" si="0"/>
        <v>-0.10484638193949374</v>
      </c>
      <c r="G13" s="10" t="s">
        <v>281</v>
      </c>
    </row>
    <row r="14" spans="1:7" x14ac:dyDescent="0.25">
      <c r="B14" s="10" t="s">
        <v>144</v>
      </c>
      <c r="C14" s="10" t="s">
        <v>139</v>
      </c>
      <c r="D14" s="96">
        <f>D13</f>
        <v>3167981.7749999999</v>
      </c>
      <c r="E14" s="96">
        <v>3539037</v>
      </c>
      <c r="F14" s="15">
        <f t="shared" si="0"/>
        <v>-0.10484638193949374</v>
      </c>
      <c r="G14" s="10" t="s">
        <v>281</v>
      </c>
    </row>
    <row r="15" spans="1:7" ht="16.5" x14ac:dyDescent="0.25">
      <c r="B15" s="10" t="s">
        <v>283</v>
      </c>
      <c r="C15" s="10" t="s">
        <v>284</v>
      </c>
      <c r="D15" s="96">
        <f>'4'!F16</f>
        <v>78.844022771180192</v>
      </c>
      <c r="E15" s="16">
        <v>86</v>
      </c>
      <c r="F15" s="15">
        <f t="shared" si="0"/>
        <v>-8.3209037544416373E-2</v>
      </c>
      <c r="G15" s="10" t="s">
        <v>281</v>
      </c>
    </row>
    <row r="16" spans="1:7" ht="18" x14ac:dyDescent="0.35">
      <c r="B16" s="10" t="s">
        <v>285</v>
      </c>
      <c r="C16" s="10" t="s">
        <v>286</v>
      </c>
      <c r="D16" s="97">
        <f>'4'!F21</f>
        <v>1.814790221761076E-2</v>
      </c>
      <c r="E16" s="97">
        <f>'4'!H21</f>
        <v>1.9692877798937442E-2</v>
      </c>
      <c r="F16" s="15">
        <f t="shared" si="0"/>
        <v>-7.8453519952784309E-2</v>
      </c>
      <c r="G16" s="10" t="s">
        <v>281</v>
      </c>
    </row>
    <row r="17" spans="2:7" ht="18" x14ac:dyDescent="0.35">
      <c r="B17" s="10" t="s">
        <v>287</v>
      </c>
      <c r="C17" s="10" t="s">
        <v>149</v>
      </c>
      <c r="D17" s="96">
        <f>'8'!E25</f>
        <v>6429.6200000000008</v>
      </c>
      <c r="E17" s="96">
        <v>8137</v>
      </c>
      <c r="F17" s="15">
        <f t="shared" si="0"/>
        <v>-0.20982917537175855</v>
      </c>
      <c r="G17" s="10" t="s">
        <v>288</v>
      </c>
    </row>
    <row r="18" spans="2:7" ht="18" x14ac:dyDescent="0.35">
      <c r="B18" s="10" t="s">
        <v>289</v>
      </c>
      <c r="C18" s="10" t="s">
        <v>149</v>
      </c>
      <c r="D18" s="96">
        <f>'8'!E27</f>
        <v>7780.8553315470235</v>
      </c>
      <c r="E18" s="96">
        <v>9639</v>
      </c>
      <c r="F18" s="15">
        <f t="shared" si="0"/>
        <v>-0.19277359357329354</v>
      </c>
      <c r="G18" s="10" t="s">
        <v>288</v>
      </c>
    </row>
    <row r="19" spans="2:7" ht="16.5" x14ac:dyDescent="0.25">
      <c r="B19" s="10" t="s">
        <v>290</v>
      </c>
      <c r="C19" s="10" t="s">
        <v>157</v>
      </c>
      <c r="D19" s="96">
        <f>'3'!F16</f>
        <v>8486.8430000000008</v>
      </c>
      <c r="E19" s="96">
        <f>'3'!G16</f>
        <v>6905</v>
      </c>
      <c r="F19" s="15">
        <f t="shared" si="0"/>
        <v>0.2290866039102101</v>
      </c>
      <c r="G19" s="10" t="s">
        <v>288</v>
      </c>
    </row>
    <row r="20" spans="2:7" ht="16.5" x14ac:dyDescent="0.25">
      <c r="B20" s="10" t="s">
        <v>291</v>
      </c>
      <c r="C20" s="10" t="s">
        <v>292</v>
      </c>
      <c r="D20" s="98">
        <f>'4'!F24</f>
        <v>0.12055859707937952</v>
      </c>
      <c r="E20" s="16">
        <v>0.1</v>
      </c>
      <c r="F20" s="15">
        <f t="shared" si="0"/>
        <v>0.20558597079379515</v>
      </c>
      <c r="G20" s="10" t="s">
        <v>281</v>
      </c>
    </row>
    <row r="21" spans="2:7" x14ac:dyDescent="0.25">
      <c r="B21" s="10" t="s">
        <v>293</v>
      </c>
      <c r="C21" s="10" t="s">
        <v>163</v>
      </c>
      <c r="D21" s="96">
        <f>'3'!F18</f>
        <v>271.75130408750442</v>
      </c>
      <c r="E21" s="16">
        <v>275</v>
      </c>
      <c r="F21" s="15">
        <f t="shared" si="0"/>
        <v>-1.1813439681802099E-2</v>
      </c>
      <c r="G21" s="10" t="s">
        <v>288</v>
      </c>
    </row>
    <row r="22" spans="2:7" x14ac:dyDescent="0.25">
      <c r="B22" s="10" t="s">
        <v>294</v>
      </c>
      <c r="C22" s="10" t="s">
        <v>295</v>
      </c>
      <c r="D22" s="18">
        <v>51</v>
      </c>
      <c r="E22" s="16">
        <v>51</v>
      </c>
      <c r="F22" s="15">
        <f t="shared" si="0"/>
        <v>0</v>
      </c>
      <c r="G22" s="10" t="s">
        <v>281</v>
      </c>
    </row>
    <row r="23" spans="2:7" x14ac:dyDescent="0.25">
      <c r="B23" s="10" t="s">
        <v>296</v>
      </c>
      <c r="C23" s="10" t="s">
        <v>295</v>
      </c>
      <c r="D23" s="18">
        <v>14</v>
      </c>
      <c r="E23" s="16">
        <v>20</v>
      </c>
      <c r="F23" s="15">
        <f t="shared" si="0"/>
        <v>-0.3</v>
      </c>
      <c r="G23" s="10" t="s">
        <v>281</v>
      </c>
    </row>
    <row r="24" spans="2:7" x14ac:dyDescent="0.25">
      <c r="B24" s="10" t="s">
        <v>297</v>
      </c>
      <c r="C24" s="10" t="s">
        <v>295</v>
      </c>
      <c r="D24" s="18">
        <v>35</v>
      </c>
      <c r="E24" s="16">
        <v>28</v>
      </c>
      <c r="F24" s="15">
        <f t="shared" si="0"/>
        <v>0.25</v>
      </c>
      <c r="G24" s="10" t="s">
        <v>281</v>
      </c>
    </row>
    <row r="25" spans="2:7" x14ac:dyDescent="0.25">
      <c r="B25" s="10" t="s">
        <v>298</v>
      </c>
      <c r="C25" s="10" t="s">
        <v>295</v>
      </c>
      <c r="D25" s="18">
        <v>59</v>
      </c>
      <c r="E25" s="16">
        <v>44</v>
      </c>
      <c r="F25" s="15">
        <f t="shared" si="0"/>
        <v>0.34090909090909088</v>
      </c>
      <c r="G25" s="10" t="s">
        <v>299</v>
      </c>
    </row>
    <row r="26" spans="2:7" x14ac:dyDescent="0.25">
      <c r="B26" s="10" t="s">
        <v>300</v>
      </c>
      <c r="C26" s="10" t="s">
        <v>295</v>
      </c>
      <c r="D26" s="18">
        <f>SUM('9'!L11:M11)</f>
        <v>53.276658970346318</v>
      </c>
      <c r="E26" s="16">
        <v>53</v>
      </c>
      <c r="F26" s="15">
        <f t="shared" si="0"/>
        <v>5.2199805725720427E-3</v>
      </c>
      <c r="G26" s="10" t="s">
        <v>301</v>
      </c>
    </row>
    <row r="27" spans="2:7" x14ac:dyDescent="0.25">
      <c r="B27" s="10" t="s">
        <v>302</v>
      </c>
      <c r="C27" s="10" t="s">
        <v>295</v>
      </c>
      <c r="D27" s="18">
        <f>SUM('9'!D31:H31)</f>
        <v>72.614201236596188</v>
      </c>
      <c r="E27" s="16">
        <v>66</v>
      </c>
      <c r="F27" s="15">
        <f t="shared" si="0"/>
        <v>0.10021517025145739</v>
      </c>
      <c r="G27" s="10" t="s">
        <v>299</v>
      </c>
    </row>
    <row r="28" spans="2:7" x14ac:dyDescent="0.25">
      <c r="B28" s="10" t="s">
        <v>303</v>
      </c>
      <c r="C28" s="10" t="s">
        <v>304</v>
      </c>
      <c r="D28" s="96">
        <f>'[6]TCFD savings'!G2</f>
        <v>1445000</v>
      </c>
      <c r="E28" s="96">
        <v>300000</v>
      </c>
      <c r="F28" s="15">
        <f t="shared" si="0"/>
        <v>3.8166666666666669</v>
      </c>
      <c r="G28" s="10" t="s">
        <v>305</v>
      </c>
    </row>
    <row r="29" spans="2:7" x14ac:dyDescent="0.25">
      <c r="B29" s="10" t="s">
        <v>306</v>
      </c>
      <c r="C29" s="10" t="s">
        <v>139</v>
      </c>
      <c r="D29" s="96">
        <f>'[6]TCFD savings'!G3</f>
        <v>790000</v>
      </c>
      <c r="E29" s="96">
        <v>1181000</v>
      </c>
      <c r="F29" s="15">
        <f t="shared" si="0"/>
        <v>-0.33107535986452158</v>
      </c>
      <c r="G29" s="10" t="s">
        <v>307</v>
      </c>
    </row>
    <row r="30" spans="2:7" ht="18" x14ac:dyDescent="0.35">
      <c r="B30" s="10" t="s">
        <v>308</v>
      </c>
      <c r="C30" s="10" t="s">
        <v>149</v>
      </c>
      <c r="D30" s="96">
        <f>'[6]TCFD savings'!G4</f>
        <v>161.29278600000001</v>
      </c>
      <c r="E30" s="16">
        <v>279</v>
      </c>
      <c r="F30" s="15">
        <f t="shared" si="0"/>
        <v>-0.42188965591397848</v>
      </c>
    </row>
    <row r="31" spans="2:7" x14ac:dyDescent="0.25">
      <c r="B31" s="10" t="s">
        <v>309</v>
      </c>
      <c r="C31" s="10" t="s">
        <v>304</v>
      </c>
      <c r="D31" s="96">
        <v>123000</v>
      </c>
      <c r="E31" s="96">
        <v>0</v>
      </c>
      <c r="F31" s="14" t="s">
        <v>222</v>
      </c>
      <c r="G31" s="10" t="s">
        <v>310</v>
      </c>
    </row>
    <row r="32" spans="2:7" ht="15.75" thickBot="1" x14ac:dyDescent="0.3">
      <c r="B32" s="53" t="s">
        <v>311</v>
      </c>
      <c r="C32" s="11" t="s">
        <v>295</v>
      </c>
      <c r="D32" s="20">
        <v>0</v>
      </c>
      <c r="E32" s="20">
        <v>100</v>
      </c>
      <c r="F32" s="41">
        <f t="shared" si="0"/>
        <v>-1</v>
      </c>
      <c r="G32" s="11" t="s">
        <v>312</v>
      </c>
    </row>
    <row r="36" spans="4:4" x14ac:dyDescent="0.25">
      <c r="D36" s="13"/>
    </row>
    <row r="37" spans="4:4" x14ac:dyDescent="0.25">
      <c r="D37" s="13"/>
    </row>
    <row r="38" spans="4:4" x14ac:dyDescent="0.25">
      <c r="D38" s="13"/>
    </row>
    <row r="39" spans="4:4" x14ac:dyDescent="0.25">
      <c r="D39" s="13"/>
    </row>
  </sheetData>
  <sheetProtection algorithmName="SHA-512" hashValue="0vFL5mJOVdCjujhUrCFdJ9ZuTKozaqlNUfq0EEosGweM2uOwYdrRFJy6hO8L6i5P6uO2gvXwg95I2+0XjCaIzg==" saltValue="HBbpi0jxwhKEpy4Vfirumg==" spinCount="100000" sheet="1" objects="1" scenarios="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B483-E6A6-4E53-AAB1-18A73D4CCC01}">
  <sheetPr codeName="Sheet12">
    <tabColor rgb="FF00B050"/>
  </sheetPr>
  <dimension ref="A2:J56"/>
  <sheetViews>
    <sheetView showGridLines="0" zoomScale="85" zoomScaleNormal="85" workbookViewId="0">
      <selection activeCell="D55" sqref="D55"/>
    </sheetView>
  </sheetViews>
  <sheetFormatPr defaultColWidth="9" defaultRowHeight="15" x14ac:dyDescent="0.25"/>
  <cols>
    <col min="1" max="1" width="3.5703125" style="10" customWidth="1"/>
    <col min="2" max="2" width="31.85546875" style="10" customWidth="1"/>
    <col min="3" max="3" width="20.85546875" style="10" customWidth="1"/>
    <col min="4" max="4" width="21.85546875" style="10" customWidth="1"/>
    <col min="5" max="5" width="16" style="10" customWidth="1"/>
    <col min="6" max="6" width="37.140625" style="10" customWidth="1"/>
    <col min="7" max="7" width="29.42578125" style="10" customWidth="1"/>
    <col min="8" max="8" width="37.7109375" style="10" customWidth="1"/>
    <col min="9" max="9" width="12.7109375" style="10" customWidth="1"/>
    <col min="10" max="10" width="14" style="10" customWidth="1"/>
    <col min="11" max="16384" width="9" style="10"/>
  </cols>
  <sheetData>
    <row r="2" spans="1:10" ht="12" customHeight="1" x14ac:dyDescent="0.5">
      <c r="A2" s="5"/>
    </row>
    <row r="3" spans="1:10" ht="31.5" x14ac:dyDescent="0.5">
      <c r="A3" s="5"/>
      <c r="B3" s="5"/>
      <c r="D3" s="5"/>
      <c r="E3" s="5" t="s">
        <v>0</v>
      </c>
    </row>
    <row r="5" spans="1:10" ht="43.9" customHeight="1" x14ac:dyDescent="0.25"/>
    <row r="7" spans="1:10" ht="21.75" thickBot="1" x14ac:dyDescent="0.4">
      <c r="B7" s="6" t="s">
        <v>12</v>
      </c>
      <c r="C7" s="11"/>
      <c r="D7" s="11"/>
      <c r="E7" s="11"/>
      <c r="F7" s="11"/>
      <c r="G7" s="11"/>
      <c r="H7" s="11"/>
      <c r="I7" s="11"/>
      <c r="J7" s="11"/>
    </row>
    <row r="9" spans="1:10" ht="15.75" x14ac:dyDescent="0.25">
      <c r="B9" s="7" t="s">
        <v>131</v>
      </c>
      <c r="C9" s="7" t="s">
        <v>132</v>
      </c>
      <c r="D9" s="7" t="s">
        <v>313</v>
      </c>
      <c r="E9" s="7" t="s">
        <v>133</v>
      </c>
      <c r="F9" s="7" t="s">
        <v>167</v>
      </c>
      <c r="G9" s="7">
        <v>2023</v>
      </c>
      <c r="H9" s="7">
        <v>2022</v>
      </c>
      <c r="I9" s="7" t="s">
        <v>135</v>
      </c>
      <c r="J9" s="7" t="s">
        <v>41</v>
      </c>
    </row>
    <row r="10" spans="1:10" x14ac:dyDescent="0.25">
      <c r="B10" s="10" t="s">
        <v>314</v>
      </c>
      <c r="C10" s="10" t="s">
        <v>315</v>
      </c>
      <c r="D10" s="10" t="s">
        <v>316</v>
      </c>
      <c r="E10" s="10" t="s">
        <v>317</v>
      </c>
      <c r="F10" s="10" t="s">
        <v>318</v>
      </c>
      <c r="G10" s="12">
        <f>'[6]S&amp;G Emp'!O3</f>
        <v>0.38709677419354838</v>
      </c>
      <c r="H10" s="13">
        <v>0.34</v>
      </c>
      <c r="I10" s="14">
        <f>(G10-H10)/H10</f>
        <v>0.13851992409867162</v>
      </c>
      <c r="J10" s="15">
        <v>1</v>
      </c>
    </row>
    <row r="11" spans="1:10" x14ac:dyDescent="0.25">
      <c r="D11" s="10" t="s">
        <v>316</v>
      </c>
      <c r="F11" s="10" t="s">
        <v>319</v>
      </c>
      <c r="G11" s="12">
        <f>'[6]S&amp;G Emp'!O5</f>
        <v>0.22222222222222221</v>
      </c>
      <c r="H11" s="13">
        <v>0.13</v>
      </c>
      <c r="I11" s="14">
        <f>(G11-H11)/H11</f>
        <v>0.70940170940170921</v>
      </c>
      <c r="J11" s="15">
        <v>1</v>
      </c>
    </row>
    <row r="12" spans="1:10" x14ac:dyDescent="0.25">
      <c r="B12" s="10" t="s">
        <v>320</v>
      </c>
      <c r="C12" s="10" t="s">
        <v>321</v>
      </c>
      <c r="D12" s="10" t="s">
        <v>316</v>
      </c>
      <c r="E12" s="10" t="s">
        <v>322</v>
      </c>
      <c r="F12" s="10" t="s">
        <v>323</v>
      </c>
      <c r="G12" s="13">
        <f>'[6]S&amp;G Emp'!P3</f>
        <v>1.5015914702659729</v>
      </c>
      <c r="H12" s="13">
        <v>1.87</v>
      </c>
      <c r="I12" s="14">
        <f>(G12-H12)/H12</f>
        <v>-0.19700990894867762</v>
      </c>
      <c r="J12" s="15">
        <v>1</v>
      </c>
    </row>
    <row r="13" spans="1:10" x14ac:dyDescent="0.25">
      <c r="D13" s="10" t="s">
        <v>316</v>
      </c>
      <c r="F13" s="10" t="s">
        <v>324</v>
      </c>
      <c r="G13" s="13">
        <f>'[6]S&amp;G Emp'!P5</f>
        <v>1.1988342857142857</v>
      </c>
      <c r="H13" s="13">
        <v>1.39</v>
      </c>
      <c r="I13" s="14">
        <f>(G13-H13)/H13</f>
        <v>-0.13752929085303178</v>
      </c>
      <c r="J13" s="15">
        <v>1</v>
      </c>
    </row>
    <row r="14" spans="1:10" x14ac:dyDescent="0.25">
      <c r="B14" s="10" t="s">
        <v>325</v>
      </c>
      <c r="D14" s="10" t="s">
        <v>316</v>
      </c>
      <c r="F14" s="10" t="s">
        <v>326</v>
      </c>
      <c r="G14" s="13">
        <f>'[6]Diversity Employee Age Distribu'!D6</f>
        <v>9.6774193548387094E-2</v>
      </c>
      <c r="H14" s="16" t="s">
        <v>230</v>
      </c>
      <c r="I14" s="17" t="s">
        <v>230</v>
      </c>
      <c r="J14" s="15">
        <v>1</v>
      </c>
    </row>
    <row r="15" spans="1:10" x14ac:dyDescent="0.25">
      <c r="D15" s="10" t="s">
        <v>316</v>
      </c>
      <c r="F15" s="10" t="s">
        <v>327</v>
      </c>
      <c r="G15" s="18">
        <f>'[6]Diversity Employee Age Distribu'!L6</f>
        <v>1</v>
      </c>
      <c r="H15" s="16" t="s">
        <v>230</v>
      </c>
      <c r="I15" s="17" t="s">
        <v>230</v>
      </c>
      <c r="J15" s="15">
        <v>1</v>
      </c>
    </row>
    <row r="16" spans="1:10" x14ac:dyDescent="0.25">
      <c r="D16" s="10" t="s">
        <v>316</v>
      </c>
      <c r="F16" s="10" t="s">
        <v>328</v>
      </c>
      <c r="G16" s="18">
        <f>'[6]Diversity Employee Age Distribu'!M6</f>
        <v>2</v>
      </c>
      <c r="H16" s="16" t="s">
        <v>230</v>
      </c>
      <c r="I16" s="17" t="s">
        <v>230</v>
      </c>
      <c r="J16" s="15">
        <v>1</v>
      </c>
    </row>
    <row r="17" spans="2:10" x14ac:dyDescent="0.25">
      <c r="D17" s="10" t="s">
        <v>316</v>
      </c>
      <c r="F17" s="10" t="s">
        <v>329</v>
      </c>
      <c r="G17" s="18">
        <f>'[6]Diversity Employee Age Distribu'!F6</f>
        <v>0</v>
      </c>
      <c r="H17" s="16" t="s">
        <v>230</v>
      </c>
      <c r="I17" s="17" t="s">
        <v>230</v>
      </c>
      <c r="J17" s="15">
        <v>1</v>
      </c>
    </row>
    <row r="18" spans="2:10" x14ac:dyDescent="0.25">
      <c r="D18" s="10" t="s">
        <v>316</v>
      </c>
      <c r="F18" s="10" t="s">
        <v>330</v>
      </c>
      <c r="G18" s="18">
        <f>'[6]Diversity Employee Age Distribu'!N6</f>
        <v>0</v>
      </c>
      <c r="H18" s="16" t="s">
        <v>230</v>
      </c>
      <c r="I18" s="17" t="s">
        <v>230</v>
      </c>
      <c r="J18" s="15">
        <v>1</v>
      </c>
    </row>
    <row r="19" spans="2:10" x14ac:dyDescent="0.25">
      <c r="D19" s="10" t="s">
        <v>316</v>
      </c>
      <c r="F19" s="10" t="s">
        <v>331</v>
      </c>
      <c r="G19" s="18">
        <f>'[6]Diversity Employee Age Distribu'!O6</f>
        <v>0</v>
      </c>
      <c r="H19" s="16" t="s">
        <v>230</v>
      </c>
      <c r="I19" s="17" t="s">
        <v>230</v>
      </c>
      <c r="J19" s="15">
        <v>1</v>
      </c>
    </row>
    <row r="20" spans="2:10" x14ac:dyDescent="0.25">
      <c r="D20" s="10" t="s">
        <v>316</v>
      </c>
      <c r="F20" s="10" t="s">
        <v>332</v>
      </c>
      <c r="G20" s="13">
        <f>'[6]Diversity Employee Age Distribu'!D7</f>
        <v>0.61290322580645162</v>
      </c>
      <c r="H20" s="16" t="s">
        <v>230</v>
      </c>
      <c r="I20" s="17" t="s">
        <v>230</v>
      </c>
      <c r="J20" s="15">
        <v>1</v>
      </c>
    </row>
    <row r="21" spans="2:10" x14ac:dyDescent="0.25">
      <c r="D21" s="10" t="s">
        <v>316</v>
      </c>
      <c r="F21" s="10" t="s">
        <v>333</v>
      </c>
      <c r="G21" s="18">
        <f>'[6]Diversity Employee Age Distribu'!L7</f>
        <v>14</v>
      </c>
      <c r="H21" s="16" t="s">
        <v>230</v>
      </c>
      <c r="I21" s="17" t="s">
        <v>230</v>
      </c>
      <c r="J21" s="15">
        <v>1</v>
      </c>
    </row>
    <row r="22" spans="2:10" x14ac:dyDescent="0.25">
      <c r="D22" s="10" t="s">
        <v>316</v>
      </c>
      <c r="F22" s="10" t="s">
        <v>334</v>
      </c>
      <c r="G22" s="18">
        <f>'[6]Diversity Employee Age Distribu'!M7</f>
        <v>5</v>
      </c>
      <c r="H22" s="16" t="s">
        <v>230</v>
      </c>
      <c r="I22" s="17" t="s">
        <v>230</v>
      </c>
      <c r="J22" s="15">
        <v>1</v>
      </c>
    </row>
    <row r="23" spans="2:10" x14ac:dyDescent="0.25">
      <c r="D23" s="10" t="s">
        <v>316</v>
      </c>
      <c r="F23" s="10" t="s">
        <v>335</v>
      </c>
      <c r="G23" s="13">
        <f>'[6]Diversity Employee Age Distribu'!F7</f>
        <v>0.77777777777777779</v>
      </c>
      <c r="H23" s="16" t="s">
        <v>230</v>
      </c>
      <c r="I23" s="17" t="s">
        <v>230</v>
      </c>
      <c r="J23" s="15">
        <v>1</v>
      </c>
    </row>
    <row r="24" spans="2:10" x14ac:dyDescent="0.25">
      <c r="D24" s="10" t="s">
        <v>316</v>
      </c>
      <c r="F24" s="10" t="s">
        <v>336</v>
      </c>
      <c r="G24" s="18">
        <f>'[6]Diversity Employee Age Distribu'!N7</f>
        <v>5</v>
      </c>
      <c r="H24" s="16" t="s">
        <v>230</v>
      </c>
      <c r="I24" s="17" t="s">
        <v>230</v>
      </c>
      <c r="J24" s="15">
        <v>1</v>
      </c>
    </row>
    <row r="25" spans="2:10" x14ac:dyDescent="0.25">
      <c r="D25" s="10" t="s">
        <v>316</v>
      </c>
      <c r="F25" s="10" t="s">
        <v>337</v>
      </c>
      <c r="G25" s="18">
        <f>'[6]Diversity Employee Age Distribu'!O7</f>
        <v>2</v>
      </c>
      <c r="H25" s="16" t="s">
        <v>230</v>
      </c>
      <c r="I25" s="17" t="s">
        <v>230</v>
      </c>
      <c r="J25" s="15">
        <v>1</v>
      </c>
    </row>
    <row r="26" spans="2:10" x14ac:dyDescent="0.25">
      <c r="D26" s="10" t="s">
        <v>316</v>
      </c>
      <c r="F26" s="10" t="s">
        <v>338</v>
      </c>
      <c r="G26" s="13">
        <f>'[6]Diversity Employee Age Distribu'!D8</f>
        <v>0.29032258064516131</v>
      </c>
      <c r="H26" s="16" t="s">
        <v>230</v>
      </c>
      <c r="I26" s="17" t="s">
        <v>230</v>
      </c>
      <c r="J26" s="15">
        <v>1</v>
      </c>
    </row>
    <row r="27" spans="2:10" x14ac:dyDescent="0.25">
      <c r="D27" s="10" t="s">
        <v>316</v>
      </c>
      <c r="F27" s="10" t="s">
        <v>339</v>
      </c>
      <c r="G27" s="18">
        <f>'[6]Diversity Employee Age Distribu'!L8</f>
        <v>4</v>
      </c>
      <c r="H27" s="16" t="s">
        <v>230</v>
      </c>
      <c r="I27" s="17" t="s">
        <v>230</v>
      </c>
      <c r="J27" s="15">
        <v>1</v>
      </c>
    </row>
    <row r="28" spans="2:10" x14ac:dyDescent="0.25">
      <c r="D28" s="10" t="s">
        <v>316</v>
      </c>
      <c r="F28" s="10" t="s">
        <v>340</v>
      </c>
      <c r="G28" s="18">
        <f>'[6]Diversity Employee Age Distribu'!M8</f>
        <v>5</v>
      </c>
      <c r="H28" s="16" t="s">
        <v>230</v>
      </c>
      <c r="I28" s="17" t="s">
        <v>230</v>
      </c>
      <c r="J28" s="15">
        <v>1</v>
      </c>
    </row>
    <row r="29" spans="2:10" x14ac:dyDescent="0.25">
      <c r="D29" s="10" t="s">
        <v>316</v>
      </c>
      <c r="F29" s="10" t="s">
        <v>341</v>
      </c>
      <c r="G29" s="13">
        <f>'[6]Diversity Employee Age Distribu'!F8</f>
        <v>0.22222222222222221</v>
      </c>
      <c r="H29" s="16" t="s">
        <v>230</v>
      </c>
      <c r="I29" s="17" t="s">
        <v>230</v>
      </c>
      <c r="J29" s="15">
        <v>1</v>
      </c>
    </row>
    <row r="30" spans="2:10" x14ac:dyDescent="0.25">
      <c r="D30" s="10" t="s">
        <v>316</v>
      </c>
      <c r="F30" s="10" t="s">
        <v>342</v>
      </c>
      <c r="G30" s="18">
        <f>'[6]Diversity Employee Age Distribu'!N8</f>
        <v>2</v>
      </c>
      <c r="H30" s="16" t="s">
        <v>230</v>
      </c>
      <c r="I30" s="17" t="s">
        <v>230</v>
      </c>
      <c r="J30" s="15">
        <v>1</v>
      </c>
    </row>
    <row r="31" spans="2:10" x14ac:dyDescent="0.25">
      <c r="D31" s="10" t="s">
        <v>316</v>
      </c>
      <c r="F31" s="10" t="s">
        <v>343</v>
      </c>
      <c r="G31" s="18">
        <f>'[6]Diversity Employee Age Distribu'!O8</f>
        <v>0</v>
      </c>
      <c r="H31" s="16" t="s">
        <v>230</v>
      </c>
      <c r="I31" s="17" t="s">
        <v>230</v>
      </c>
      <c r="J31" s="15">
        <v>1</v>
      </c>
    </row>
    <row r="32" spans="2:10" x14ac:dyDescent="0.25">
      <c r="B32" s="10" t="s">
        <v>344</v>
      </c>
      <c r="C32" s="10" t="s">
        <v>345</v>
      </c>
      <c r="D32" s="10" t="s">
        <v>316</v>
      </c>
      <c r="E32" s="10" t="s">
        <v>346</v>
      </c>
      <c r="F32" s="10" t="s">
        <v>347</v>
      </c>
      <c r="G32" s="18">
        <f>'[6]S&amp;G Emp'!Q3</f>
        <v>34.87096774193548</v>
      </c>
      <c r="H32" s="16">
        <v>20</v>
      </c>
      <c r="I32" s="14">
        <f>(G32-H32)/H32</f>
        <v>0.74354838709677407</v>
      </c>
      <c r="J32" s="15">
        <v>1</v>
      </c>
    </row>
    <row r="33" spans="2:10" x14ac:dyDescent="0.25">
      <c r="B33" s="10" t="s">
        <v>348</v>
      </c>
      <c r="C33" s="10" t="s">
        <v>349</v>
      </c>
      <c r="D33" s="10" t="s">
        <v>316</v>
      </c>
      <c r="E33" s="10" t="s">
        <v>350</v>
      </c>
      <c r="F33" s="10" t="s">
        <v>351</v>
      </c>
      <c r="G33" s="13">
        <f>'[6]S&amp;G Emp'!R3</f>
        <v>0.83870967741935487</v>
      </c>
      <c r="H33" s="13">
        <v>0.83</v>
      </c>
      <c r="I33" s="14">
        <f>(G33-H33)/H33</f>
        <v>1.0493587252234832E-2</v>
      </c>
      <c r="J33" s="15">
        <v>1</v>
      </c>
    </row>
    <row r="34" spans="2:10" x14ac:dyDescent="0.25">
      <c r="B34" s="10" t="s">
        <v>352</v>
      </c>
      <c r="C34" s="10" t="s">
        <v>353</v>
      </c>
      <c r="D34" s="10" t="s">
        <v>316</v>
      </c>
      <c r="E34" s="10" t="s">
        <v>354</v>
      </c>
      <c r="F34" s="10" t="s">
        <v>355</v>
      </c>
      <c r="G34" s="16" t="s">
        <v>356</v>
      </c>
      <c r="H34" s="16" t="s">
        <v>357</v>
      </c>
      <c r="I34" s="14">
        <v>0.2</v>
      </c>
      <c r="J34" s="15">
        <v>1</v>
      </c>
    </row>
    <row r="35" spans="2:10" x14ac:dyDescent="0.25">
      <c r="D35" s="10" t="s">
        <v>316</v>
      </c>
      <c r="E35" s="10" t="s">
        <v>354</v>
      </c>
      <c r="F35" s="10" t="s">
        <v>358</v>
      </c>
      <c r="G35" s="13">
        <f>'[6]S&amp;G Emp'!U3</f>
        <v>9.6774193548387094E-2</v>
      </c>
      <c r="H35" s="13">
        <v>0.11</v>
      </c>
      <c r="I35" s="14">
        <f>(G35-H35)/H35</f>
        <v>-0.12023460410557188</v>
      </c>
      <c r="J35" s="15">
        <v>1</v>
      </c>
    </row>
    <row r="36" spans="2:10" x14ac:dyDescent="0.25">
      <c r="B36" s="10" t="s">
        <v>359</v>
      </c>
      <c r="C36" s="10" t="s">
        <v>353</v>
      </c>
      <c r="D36" s="10" t="s">
        <v>316</v>
      </c>
      <c r="E36" s="10" t="s">
        <v>354</v>
      </c>
      <c r="F36" s="10" t="s">
        <v>355</v>
      </c>
      <c r="G36" s="16" t="s">
        <v>360</v>
      </c>
      <c r="H36" s="16" t="s">
        <v>361</v>
      </c>
      <c r="I36" s="17" t="s">
        <v>362</v>
      </c>
      <c r="J36" s="15">
        <v>1</v>
      </c>
    </row>
    <row r="37" spans="2:10" x14ac:dyDescent="0.25">
      <c r="D37" s="10" t="s">
        <v>316</v>
      </c>
      <c r="E37" s="10" t="s">
        <v>354</v>
      </c>
      <c r="F37" s="10" t="s">
        <v>358</v>
      </c>
      <c r="G37" s="13">
        <f>'[6]S&amp;G Emp'!X3</f>
        <v>0.25806451612903225</v>
      </c>
      <c r="H37" s="13">
        <v>0.11</v>
      </c>
      <c r="I37" s="14">
        <f>(G37-H37)/H37</f>
        <v>1.3460410557184752</v>
      </c>
      <c r="J37" s="15">
        <v>1</v>
      </c>
    </row>
    <row r="38" spans="2:10" x14ac:dyDescent="0.25">
      <c r="B38" s="10" t="s">
        <v>363</v>
      </c>
      <c r="C38" s="10" t="s">
        <v>364</v>
      </c>
      <c r="D38" s="10" t="s">
        <v>316</v>
      </c>
      <c r="E38" s="10" t="s">
        <v>365</v>
      </c>
      <c r="F38" s="10" t="s">
        <v>366</v>
      </c>
      <c r="G38" s="16">
        <v>0</v>
      </c>
      <c r="H38" s="16">
        <v>0</v>
      </c>
      <c r="I38" s="17" t="s">
        <v>362</v>
      </c>
      <c r="J38" s="15">
        <v>1</v>
      </c>
    </row>
    <row r="39" spans="2:10" x14ac:dyDescent="0.25">
      <c r="B39" s="10" t="s">
        <v>367</v>
      </c>
      <c r="D39" s="10" t="s">
        <v>316</v>
      </c>
      <c r="F39" s="10" t="s">
        <v>366</v>
      </c>
      <c r="G39" s="16">
        <v>0</v>
      </c>
      <c r="H39" s="16">
        <v>0</v>
      </c>
      <c r="I39" s="17" t="s">
        <v>362</v>
      </c>
      <c r="J39" s="15">
        <v>1</v>
      </c>
    </row>
    <row r="40" spans="2:10" x14ac:dyDescent="0.25">
      <c r="B40" s="10" t="s">
        <v>368</v>
      </c>
      <c r="D40" s="10" t="s">
        <v>316</v>
      </c>
      <c r="F40" s="10" t="s">
        <v>369</v>
      </c>
      <c r="G40" s="19">
        <f>'[6]S&amp;G Emp'!AC3</f>
        <v>7.4441687344913151E-3</v>
      </c>
      <c r="H40" s="19">
        <v>4.1999999999999997E-3</v>
      </c>
      <c r="I40" s="14">
        <f>(G40-H40)/H40</f>
        <v>0.77242112725983703</v>
      </c>
      <c r="J40" s="15">
        <v>1</v>
      </c>
    </row>
    <row r="41" spans="2:10" x14ac:dyDescent="0.25">
      <c r="B41" s="10" t="s">
        <v>370</v>
      </c>
      <c r="D41" s="10" t="s">
        <v>316</v>
      </c>
      <c r="F41" s="10" t="s">
        <v>355</v>
      </c>
      <c r="G41" s="16">
        <v>0</v>
      </c>
      <c r="H41" s="16">
        <v>0</v>
      </c>
      <c r="I41" s="17" t="s">
        <v>362</v>
      </c>
      <c r="J41" s="15">
        <v>1</v>
      </c>
    </row>
    <row r="42" spans="2:10" x14ac:dyDescent="0.25">
      <c r="B42" s="10" t="s">
        <v>371</v>
      </c>
      <c r="C42" s="10" t="s">
        <v>372</v>
      </c>
      <c r="D42" s="10" t="s">
        <v>273</v>
      </c>
      <c r="E42" s="10" t="s">
        <v>373</v>
      </c>
      <c r="F42" s="10" t="s">
        <v>374</v>
      </c>
      <c r="G42" s="13">
        <v>1</v>
      </c>
      <c r="H42" s="13">
        <v>1</v>
      </c>
      <c r="I42" s="17" t="s">
        <v>362</v>
      </c>
      <c r="J42" s="15">
        <v>1</v>
      </c>
    </row>
    <row r="43" spans="2:10" x14ac:dyDescent="0.25">
      <c r="D43" s="10" t="s">
        <v>375</v>
      </c>
      <c r="G43" s="13">
        <v>1</v>
      </c>
      <c r="H43" s="13">
        <v>1</v>
      </c>
      <c r="I43" s="17" t="s">
        <v>362</v>
      </c>
      <c r="J43" s="15">
        <v>1</v>
      </c>
    </row>
    <row r="44" spans="2:10" x14ac:dyDescent="0.25">
      <c r="B44" s="10" t="s">
        <v>376</v>
      </c>
      <c r="C44" s="10" t="s">
        <v>377</v>
      </c>
      <c r="D44" s="10" t="s">
        <v>273</v>
      </c>
      <c r="F44" s="10" t="s">
        <v>355</v>
      </c>
      <c r="G44" s="16" t="s">
        <v>378</v>
      </c>
      <c r="H44" s="16" t="s">
        <v>378</v>
      </c>
      <c r="I44" s="17" t="s">
        <v>362</v>
      </c>
      <c r="J44" s="15">
        <v>1</v>
      </c>
    </row>
    <row r="45" spans="2:10" x14ac:dyDescent="0.25">
      <c r="D45" s="10" t="s">
        <v>375</v>
      </c>
      <c r="G45" s="16" t="s">
        <v>378</v>
      </c>
      <c r="H45" s="16" t="s">
        <v>378</v>
      </c>
      <c r="I45" s="17" t="s">
        <v>362</v>
      </c>
      <c r="J45" s="15">
        <v>1</v>
      </c>
    </row>
    <row r="46" spans="2:10" x14ac:dyDescent="0.25">
      <c r="B46" s="10" t="s">
        <v>379</v>
      </c>
      <c r="D46" s="10" t="s">
        <v>316</v>
      </c>
      <c r="F46" s="10" t="s">
        <v>380</v>
      </c>
      <c r="G46" s="16">
        <v>13</v>
      </c>
      <c r="H46" s="16" t="s">
        <v>230</v>
      </c>
      <c r="I46" s="17" t="s">
        <v>230</v>
      </c>
      <c r="J46" s="15">
        <v>1</v>
      </c>
    </row>
    <row r="47" spans="2:10" x14ac:dyDescent="0.25">
      <c r="B47" s="10" t="s">
        <v>381</v>
      </c>
      <c r="D47" s="10" t="s">
        <v>316</v>
      </c>
      <c r="F47" s="10" t="s">
        <v>355</v>
      </c>
      <c r="G47" s="16" t="s">
        <v>378</v>
      </c>
      <c r="H47" s="16" t="s">
        <v>230</v>
      </c>
      <c r="I47" s="17" t="s">
        <v>230</v>
      </c>
      <c r="J47" s="15">
        <v>1</v>
      </c>
    </row>
    <row r="48" spans="2:10" x14ac:dyDescent="0.25">
      <c r="B48" s="10" t="s">
        <v>382</v>
      </c>
      <c r="D48" s="10" t="s">
        <v>316</v>
      </c>
      <c r="F48" s="10" t="s">
        <v>347</v>
      </c>
      <c r="G48" s="16">
        <v>2.6</v>
      </c>
      <c r="H48" s="16" t="s">
        <v>230</v>
      </c>
      <c r="I48" s="17" t="s">
        <v>230</v>
      </c>
      <c r="J48" s="15">
        <v>1</v>
      </c>
    </row>
    <row r="49" spans="2:10" x14ac:dyDescent="0.25">
      <c r="B49" s="10" t="s">
        <v>383</v>
      </c>
      <c r="D49" s="10" t="s">
        <v>316</v>
      </c>
      <c r="F49" s="10" t="s">
        <v>347</v>
      </c>
      <c r="G49" s="16">
        <v>0.9</v>
      </c>
      <c r="H49" s="16" t="s">
        <v>230</v>
      </c>
      <c r="I49" s="17" t="s">
        <v>230</v>
      </c>
      <c r="J49" s="15">
        <v>1</v>
      </c>
    </row>
    <row r="50" spans="2:10" x14ac:dyDescent="0.25">
      <c r="B50" s="10" t="s">
        <v>384</v>
      </c>
      <c r="C50" s="10" t="s">
        <v>385</v>
      </c>
      <c r="D50" s="10" t="s">
        <v>273</v>
      </c>
      <c r="E50" s="10" t="s">
        <v>386</v>
      </c>
      <c r="F50" s="10" t="s">
        <v>374</v>
      </c>
      <c r="G50" s="13">
        <f>(SUMIFS([6]!TblAssets[Column1],[6]!TblAssets[Building Type], "office",[6]!TblAssets[Community engagement],"Y"))/'[6]Asset list'!A29</f>
        <v>0.7142857142857143</v>
      </c>
      <c r="H50" s="13">
        <v>0.44</v>
      </c>
      <c r="I50" s="14">
        <f>(G50-H50)/H50</f>
        <v>0.62337662337662336</v>
      </c>
      <c r="J50" s="15">
        <v>1</v>
      </c>
    </row>
    <row r="51" spans="2:10" x14ac:dyDescent="0.25">
      <c r="D51" s="10" t="s">
        <v>375</v>
      </c>
      <c r="G51" s="16">
        <v>0</v>
      </c>
      <c r="H51" s="16">
        <v>0</v>
      </c>
      <c r="I51" s="17">
        <v>0</v>
      </c>
      <c r="J51" s="15">
        <v>1</v>
      </c>
    </row>
    <row r="52" spans="2:10" ht="15.75" thickBot="1" x14ac:dyDescent="0.3">
      <c r="B52" s="11" t="s">
        <v>387</v>
      </c>
      <c r="C52" s="11"/>
      <c r="D52" s="11" t="s">
        <v>273</v>
      </c>
      <c r="E52" s="11"/>
      <c r="F52" s="11" t="s">
        <v>388</v>
      </c>
      <c r="G52" s="20">
        <v>44</v>
      </c>
      <c r="H52" s="20" t="s">
        <v>230</v>
      </c>
      <c r="I52" s="21" t="s">
        <v>230</v>
      </c>
      <c r="J52" s="22">
        <v>1</v>
      </c>
    </row>
    <row r="54" spans="2:10" x14ac:dyDescent="0.25">
      <c r="B54" s="8"/>
    </row>
    <row r="55" spans="2:10" x14ac:dyDescent="0.25">
      <c r="B55" s="9"/>
    </row>
    <row r="56" spans="2:10" x14ac:dyDescent="0.25">
      <c r="B56" s="9"/>
    </row>
  </sheetData>
  <sheetProtection algorithmName="SHA-512" hashValue="Cu9EPvm+iFgqwT0YTSVUf2O5rpJBLRiSDKBxdkmu8gIeUU7Fzc0GyFuKrRpfVV3Lz5tMT0VrzIuQZnkytMmLJA==" saltValue="fR3/36/0fwiAVaKDmhlcx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51B4-992E-4FE9-B5C8-1D09D6FAA0BC}">
  <sheetPr codeName="Sheet2">
    <tabColor rgb="FF00B050"/>
  </sheetPr>
  <dimension ref="A2:G32"/>
  <sheetViews>
    <sheetView showGridLines="0" zoomScale="85" zoomScaleNormal="85" workbookViewId="0">
      <selection sqref="A1:XFD1048576"/>
    </sheetView>
  </sheetViews>
  <sheetFormatPr defaultRowHeight="15" x14ac:dyDescent="0.25"/>
  <cols>
    <col min="1" max="1" width="3.28515625" style="10" customWidth="1"/>
    <col min="2" max="2" width="44.42578125" style="10" customWidth="1"/>
    <col min="3" max="3" width="136.85546875" style="52" customWidth="1"/>
    <col min="4" max="16384" width="9.140625" style="10"/>
  </cols>
  <sheetData>
    <row r="2" spans="1:7" ht="12" customHeight="1" x14ac:dyDescent="0.5">
      <c r="A2" s="5"/>
    </row>
    <row r="3" spans="1:7" ht="31.5" x14ac:dyDescent="0.5">
      <c r="A3" s="5"/>
      <c r="B3" s="5" t="s">
        <v>0</v>
      </c>
      <c r="D3" s="5"/>
      <c r="G3" s="5"/>
    </row>
    <row r="7" spans="1:7" ht="21.75" thickBot="1" x14ac:dyDescent="0.4">
      <c r="B7" s="6" t="s">
        <v>2</v>
      </c>
      <c r="C7" s="53"/>
    </row>
    <row r="8" spans="1:7" ht="30" x14ac:dyDescent="0.25">
      <c r="B8" s="54"/>
      <c r="C8" s="61" t="s">
        <v>13</v>
      </c>
    </row>
    <row r="9" spans="1:7" x14ac:dyDescent="0.25">
      <c r="B9" s="54"/>
      <c r="C9" s="55"/>
    </row>
    <row r="10" spans="1:7" x14ac:dyDescent="0.25">
      <c r="B10" s="54"/>
      <c r="C10" s="61" t="s">
        <v>14</v>
      </c>
    </row>
    <row r="11" spans="1:7" x14ac:dyDescent="0.25">
      <c r="B11" s="54"/>
      <c r="C11" s="59" t="s">
        <v>15</v>
      </c>
    </row>
    <row r="12" spans="1:7" x14ac:dyDescent="0.25">
      <c r="B12" s="54"/>
      <c r="C12" s="55"/>
    </row>
    <row r="13" spans="1:7" ht="375" x14ac:dyDescent="0.25">
      <c r="B13" s="54" t="s">
        <v>16</v>
      </c>
      <c r="C13" s="61" t="s">
        <v>17</v>
      </c>
    </row>
    <row r="14" spans="1:7" x14ac:dyDescent="0.25">
      <c r="B14" s="54"/>
      <c r="C14" s="65"/>
    </row>
    <row r="15" spans="1:7" ht="120" x14ac:dyDescent="0.25">
      <c r="B15" s="54"/>
      <c r="C15" s="55" t="s">
        <v>18</v>
      </c>
    </row>
    <row r="16" spans="1:7" x14ac:dyDescent="0.25">
      <c r="B16" s="54"/>
      <c r="C16" s="65"/>
    </row>
    <row r="17" spans="2:3" ht="105" x14ac:dyDescent="0.25">
      <c r="B17" s="54"/>
      <c r="C17" s="65" t="s">
        <v>19</v>
      </c>
    </row>
    <row r="18" spans="2:3" x14ac:dyDescent="0.25">
      <c r="B18" s="54"/>
      <c r="C18" s="65"/>
    </row>
    <row r="19" spans="2:3" ht="165" x14ac:dyDescent="0.25">
      <c r="B19" s="54"/>
      <c r="C19" s="61" t="s">
        <v>20</v>
      </c>
    </row>
    <row r="20" spans="2:3" x14ac:dyDescent="0.25">
      <c r="B20" s="54"/>
      <c r="C20" s="66"/>
    </row>
    <row r="21" spans="2:3" ht="180" x14ac:dyDescent="0.25">
      <c r="B21" s="54"/>
      <c r="C21" s="61" t="s">
        <v>21</v>
      </c>
    </row>
    <row r="22" spans="2:3" x14ac:dyDescent="0.25">
      <c r="B22" s="54"/>
      <c r="C22" s="66"/>
    </row>
    <row r="23" spans="2:3" ht="135" x14ac:dyDescent="0.25">
      <c r="B23" s="54" t="s">
        <v>22</v>
      </c>
      <c r="C23" s="65" t="s">
        <v>23</v>
      </c>
    </row>
    <row r="24" spans="2:3" x14ac:dyDescent="0.25">
      <c r="B24" s="54"/>
      <c r="C24" s="66"/>
    </row>
    <row r="25" spans="2:3" ht="90" x14ac:dyDescent="0.25">
      <c r="B25" s="54"/>
      <c r="C25" s="61" t="s">
        <v>24</v>
      </c>
    </row>
    <row r="26" spans="2:3" x14ac:dyDescent="0.25">
      <c r="B26" s="67"/>
      <c r="C26" s="66"/>
    </row>
    <row r="27" spans="2:3" ht="180" x14ac:dyDescent="0.25">
      <c r="B27" s="67"/>
      <c r="C27" s="65" t="s">
        <v>25</v>
      </c>
    </row>
    <row r="28" spans="2:3" x14ac:dyDescent="0.25">
      <c r="B28" s="67"/>
      <c r="C28" s="66"/>
    </row>
    <row r="29" spans="2:3" ht="105" x14ac:dyDescent="0.25">
      <c r="B29" s="67"/>
      <c r="C29" s="65" t="s">
        <v>26</v>
      </c>
    </row>
    <row r="30" spans="2:3" ht="45" x14ac:dyDescent="0.25">
      <c r="B30" s="68"/>
      <c r="C30" s="55" t="s">
        <v>27</v>
      </c>
    </row>
    <row r="31" spans="2:3" x14ac:dyDescent="0.25">
      <c r="B31" s="59"/>
      <c r="C31" s="59" t="s">
        <v>28</v>
      </c>
    </row>
    <row r="32" spans="2:3" ht="15.75" thickBot="1" x14ac:dyDescent="0.3">
      <c r="B32" s="69"/>
      <c r="C32" s="64"/>
    </row>
  </sheetData>
  <sheetProtection algorithmName="SHA-512" hashValue="WxW2GQQ9s5eAOf4nNebuOn4s4pDQZ1m/GP5yeiwqnU+OULKln8rv3M0kE+6jC9HXJadk6f4kxlHBtiXTQqAU3w==" saltValue="zpaIl5+NFjLSBAzpfsm8bg==" spinCount="100000" sheet="1" objects="1" scenarios="1"/>
  <hyperlinks>
    <hyperlink ref="C11" r:id="rId1" xr:uid="{BEF97F1A-F4E8-4B79-A8A5-AA4236B82EBC}"/>
    <hyperlink ref="C31" r:id="rId2" xr:uid="{1F22FE00-4E25-45DC-9192-22D336A58DF2}"/>
  </hyperlinks>
  <pageMargins left="0.7" right="0.7" top="0.75" bottom="0.75" header="0.3" footer="0.3"/>
  <pageSetup paperSize="9" orientation="portrait" horizontalDpi="4294967293"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6D0E-CA89-46AB-BDA1-04C45F4E806C}">
  <sheetPr codeName="Sheet3">
    <tabColor rgb="FF00B050"/>
  </sheetPr>
  <dimension ref="A2:G102"/>
  <sheetViews>
    <sheetView showGridLines="0" topLeftCell="A35" zoomScaleNormal="100" workbookViewId="0">
      <selection activeCell="C50" sqref="C50"/>
    </sheetView>
  </sheetViews>
  <sheetFormatPr defaultRowHeight="15" x14ac:dyDescent="0.25"/>
  <cols>
    <col min="1" max="1" width="3.28515625" style="10" customWidth="1"/>
    <col min="2" max="2" width="36.7109375" style="10" customWidth="1"/>
    <col min="3" max="3" width="195.28515625" style="52" customWidth="1"/>
    <col min="4" max="4" width="80.5703125" style="10" customWidth="1"/>
    <col min="5" max="16384" width="9.140625" style="10"/>
  </cols>
  <sheetData>
    <row r="2" spans="1:7" ht="12" customHeight="1" x14ac:dyDescent="0.5">
      <c r="A2" s="5"/>
    </row>
    <row r="3" spans="1:7" ht="31.5" x14ac:dyDescent="0.5">
      <c r="A3" s="5"/>
      <c r="B3" s="5" t="s">
        <v>0</v>
      </c>
      <c r="D3" s="5"/>
      <c r="G3" s="5"/>
    </row>
    <row r="7" spans="1:7" ht="21.75" thickBot="1" x14ac:dyDescent="0.4">
      <c r="B7" s="6" t="s">
        <v>3</v>
      </c>
      <c r="C7" s="53"/>
    </row>
    <row r="8" spans="1:7" ht="60" x14ac:dyDescent="0.25">
      <c r="B8" s="54" t="s">
        <v>29</v>
      </c>
      <c r="C8" s="55" t="s">
        <v>30</v>
      </c>
    </row>
    <row r="9" spans="1:7" x14ac:dyDescent="0.25">
      <c r="B9" s="54" t="s">
        <v>31</v>
      </c>
      <c r="C9" s="56" t="s">
        <v>32</v>
      </c>
    </row>
    <row r="10" spans="1:7" x14ac:dyDescent="0.25">
      <c r="B10" s="57"/>
      <c r="C10" s="10"/>
    </row>
    <row r="11" spans="1:7" ht="30" x14ac:dyDescent="0.25">
      <c r="B11" s="54" t="s">
        <v>33</v>
      </c>
      <c r="C11" s="52" t="s">
        <v>34</v>
      </c>
    </row>
    <row r="12" spans="1:7" x14ac:dyDescent="0.25">
      <c r="B12" s="58"/>
      <c r="C12" s="58" t="s">
        <v>35</v>
      </c>
    </row>
    <row r="13" spans="1:7" x14ac:dyDescent="0.25">
      <c r="B13" s="58"/>
      <c r="C13" s="58"/>
    </row>
    <row r="14" spans="1:7" x14ac:dyDescent="0.25">
      <c r="B14" s="54" t="s">
        <v>36</v>
      </c>
      <c r="C14" s="55" t="s">
        <v>37</v>
      </c>
    </row>
    <row r="15" spans="1:7" x14ac:dyDescent="0.25">
      <c r="B15" s="54"/>
      <c r="C15" s="59" t="s">
        <v>38</v>
      </c>
    </row>
    <row r="16" spans="1:7" x14ac:dyDescent="0.25">
      <c r="B16" s="54"/>
      <c r="C16" s="55"/>
    </row>
    <row r="17" spans="2:4" ht="30" x14ac:dyDescent="0.25">
      <c r="B17" s="54" t="s">
        <v>39</v>
      </c>
      <c r="C17" s="55" t="s">
        <v>40</v>
      </c>
    </row>
    <row r="18" spans="2:4" x14ac:dyDescent="0.25">
      <c r="B18" s="54"/>
      <c r="C18" s="55"/>
    </row>
    <row r="19" spans="2:4" ht="120" x14ac:dyDescent="0.25">
      <c r="B19" s="54" t="s">
        <v>41</v>
      </c>
      <c r="C19" s="55" t="s">
        <v>42</v>
      </c>
    </row>
    <row r="20" spans="2:4" x14ac:dyDescent="0.25">
      <c r="B20" s="60" t="s">
        <v>43</v>
      </c>
      <c r="C20" s="55" t="s">
        <v>44</v>
      </c>
      <c r="D20" s="55"/>
    </row>
    <row r="21" spans="2:4" x14ac:dyDescent="0.25">
      <c r="B21" s="54"/>
      <c r="C21" s="55"/>
    </row>
    <row r="22" spans="2:4" ht="75" x14ac:dyDescent="0.25">
      <c r="B22" s="54" t="s">
        <v>45</v>
      </c>
      <c r="C22" s="55" t="s">
        <v>46</v>
      </c>
    </row>
    <row r="23" spans="2:4" x14ac:dyDescent="0.25">
      <c r="B23" s="54"/>
      <c r="C23" s="55"/>
    </row>
    <row r="24" spans="2:4" ht="30" x14ac:dyDescent="0.25">
      <c r="B24" s="54" t="s">
        <v>47</v>
      </c>
      <c r="C24" s="55" t="s">
        <v>48</v>
      </c>
    </row>
    <row r="25" spans="2:4" x14ac:dyDescent="0.25">
      <c r="B25" s="54"/>
      <c r="C25" s="55"/>
    </row>
    <row r="26" spans="2:4" ht="75" x14ac:dyDescent="0.25">
      <c r="B26" s="54" t="s">
        <v>49</v>
      </c>
      <c r="C26" s="55" t="s">
        <v>50</v>
      </c>
    </row>
    <row r="27" spans="2:4" x14ac:dyDescent="0.25">
      <c r="B27" s="54"/>
      <c r="C27" s="55"/>
    </row>
    <row r="28" spans="2:4" ht="78" x14ac:dyDescent="0.25">
      <c r="B28" s="54" t="s">
        <v>51</v>
      </c>
      <c r="C28" s="61" t="s">
        <v>52</v>
      </c>
    </row>
    <row r="29" spans="2:4" x14ac:dyDescent="0.25">
      <c r="B29" s="54"/>
      <c r="C29" s="55"/>
    </row>
    <row r="30" spans="2:4" ht="75" x14ac:dyDescent="0.25">
      <c r="B30" s="54" t="s">
        <v>53</v>
      </c>
      <c r="C30" s="55" t="s">
        <v>54</v>
      </c>
    </row>
    <row r="31" spans="2:4" x14ac:dyDescent="0.25">
      <c r="B31" s="54"/>
      <c r="C31" s="55"/>
    </row>
    <row r="32" spans="2:4" x14ac:dyDescent="0.25">
      <c r="B32" s="54"/>
      <c r="C32" s="59"/>
    </row>
    <row r="33" spans="2:4" ht="45" x14ac:dyDescent="0.25">
      <c r="B33" s="54" t="s">
        <v>55</v>
      </c>
      <c r="C33" s="55" t="s">
        <v>56</v>
      </c>
    </row>
    <row r="34" spans="2:4" x14ac:dyDescent="0.25">
      <c r="B34" s="54"/>
      <c r="C34" s="55"/>
    </row>
    <row r="35" spans="2:4" ht="150" x14ac:dyDescent="0.25">
      <c r="B35" s="60" t="s">
        <v>57</v>
      </c>
      <c r="C35" s="55" t="s">
        <v>58</v>
      </c>
      <c r="D35" s="55"/>
    </row>
    <row r="36" spans="2:4" x14ac:dyDescent="0.25">
      <c r="B36" s="60"/>
      <c r="C36" s="55"/>
      <c r="D36" s="55"/>
    </row>
    <row r="37" spans="2:4" ht="16.5" x14ac:dyDescent="0.25">
      <c r="B37" s="60" t="s">
        <v>59</v>
      </c>
      <c r="C37" s="55" t="s">
        <v>60</v>
      </c>
      <c r="D37" s="55"/>
    </row>
    <row r="38" spans="2:4" x14ac:dyDescent="0.25">
      <c r="B38" s="60"/>
      <c r="C38" s="55"/>
      <c r="D38" s="55"/>
    </row>
    <row r="39" spans="2:4" ht="30" x14ac:dyDescent="0.25">
      <c r="B39" s="54" t="s">
        <v>61</v>
      </c>
      <c r="C39" s="55" t="s">
        <v>62</v>
      </c>
      <c r="D39" s="55"/>
    </row>
    <row r="40" spans="2:4" x14ac:dyDescent="0.25">
      <c r="B40" s="54"/>
      <c r="C40" s="55"/>
      <c r="D40" s="55"/>
    </row>
    <row r="41" spans="2:4" ht="30" x14ac:dyDescent="0.25">
      <c r="B41" s="54" t="s">
        <v>63</v>
      </c>
      <c r="C41" s="55" t="s">
        <v>64</v>
      </c>
      <c r="D41" s="55"/>
    </row>
    <row r="42" spans="2:4" x14ac:dyDescent="0.25">
      <c r="B42" s="60"/>
      <c r="C42" s="55"/>
      <c r="D42" s="55"/>
    </row>
    <row r="43" spans="2:4" ht="45" x14ac:dyDescent="0.25">
      <c r="B43" s="60" t="s">
        <v>65</v>
      </c>
      <c r="C43" s="55" t="s">
        <v>66</v>
      </c>
      <c r="D43" s="55"/>
    </row>
    <row r="44" spans="2:4" ht="30" x14ac:dyDescent="0.25">
      <c r="B44" s="60" t="s">
        <v>67</v>
      </c>
      <c r="C44" s="55" t="s">
        <v>68</v>
      </c>
      <c r="D44" s="55"/>
    </row>
    <row r="45" spans="2:4" x14ac:dyDescent="0.25">
      <c r="B45" s="54"/>
      <c r="C45" s="55"/>
      <c r="D45" s="55"/>
    </row>
    <row r="46" spans="2:4" ht="51" x14ac:dyDescent="0.25">
      <c r="B46" s="54" t="s">
        <v>69</v>
      </c>
      <c r="C46" s="61" t="s">
        <v>70</v>
      </c>
      <c r="D46" s="55"/>
    </row>
    <row r="47" spans="2:4" ht="51" x14ac:dyDescent="0.25">
      <c r="B47" s="54" t="s">
        <v>71</v>
      </c>
      <c r="C47" s="61" t="s">
        <v>72</v>
      </c>
      <c r="D47" s="55"/>
    </row>
    <row r="48" spans="2:4" ht="120" x14ac:dyDescent="0.25">
      <c r="B48" s="54" t="s">
        <v>73</v>
      </c>
      <c r="C48" s="55" t="s">
        <v>74</v>
      </c>
      <c r="D48" s="62"/>
    </row>
    <row r="49" spans="2:4" x14ac:dyDescent="0.25">
      <c r="B49" s="54"/>
      <c r="C49" s="55"/>
      <c r="D49" s="62"/>
    </row>
    <row r="50" spans="2:4" ht="90" x14ac:dyDescent="0.25">
      <c r="B50" s="54" t="s">
        <v>75</v>
      </c>
      <c r="C50" s="55" t="s">
        <v>76</v>
      </c>
      <c r="D50" s="62"/>
    </row>
    <row r="51" spans="2:4" x14ac:dyDescent="0.25">
      <c r="B51" s="54"/>
      <c r="C51" s="55"/>
      <c r="D51" s="62"/>
    </row>
    <row r="52" spans="2:4" ht="90" x14ac:dyDescent="0.25">
      <c r="B52" s="54" t="s">
        <v>77</v>
      </c>
      <c r="C52" s="55" t="s">
        <v>78</v>
      </c>
      <c r="D52" s="55"/>
    </row>
    <row r="53" spans="2:4" ht="90" x14ac:dyDescent="0.25">
      <c r="B53" s="54" t="s">
        <v>79</v>
      </c>
      <c r="C53" s="55" t="s">
        <v>80</v>
      </c>
      <c r="D53" s="55"/>
    </row>
    <row r="54" spans="2:4" x14ac:dyDescent="0.25">
      <c r="B54" s="54"/>
      <c r="C54" s="55"/>
      <c r="D54" s="55"/>
    </row>
    <row r="55" spans="2:4" ht="75" x14ac:dyDescent="0.25">
      <c r="B55" s="54" t="s">
        <v>81</v>
      </c>
      <c r="C55" s="55" t="s">
        <v>82</v>
      </c>
      <c r="D55" s="55"/>
    </row>
    <row r="56" spans="2:4" x14ac:dyDescent="0.25">
      <c r="B56" s="54"/>
      <c r="C56" s="55"/>
      <c r="D56" s="55"/>
    </row>
    <row r="57" spans="2:4" ht="180" x14ac:dyDescent="0.25">
      <c r="B57" s="54" t="s">
        <v>83</v>
      </c>
      <c r="C57" s="55" t="s">
        <v>84</v>
      </c>
      <c r="D57" s="55"/>
    </row>
    <row r="58" spans="2:4" x14ac:dyDescent="0.25">
      <c r="B58" s="54"/>
      <c r="C58" s="55"/>
      <c r="D58" s="55"/>
    </row>
    <row r="59" spans="2:4" ht="150" x14ac:dyDescent="0.25">
      <c r="B59" s="54" t="s">
        <v>85</v>
      </c>
      <c r="C59" s="55" t="s">
        <v>86</v>
      </c>
      <c r="D59" s="55"/>
    </row>
    <row r="60" spans="2:4" x14ac:dyDescent="0.25">
      <c r="B60" s="54"/>
      <c r="C60" s="55"/>
      <c r="D60" s="55"/>
    </row>
    <row r="61" spans="2:4" ht="138" x14ac:dyDescent="0.25">
      <c r="B61" s="54" t="s">
        <v>87</v>
      </c>
      <c r="C61" s="55" t="s">
        <v>88</v>
      </c>
      <c r="D61" s="55"/>
    </row>
    <row r="62" spans="2:4" ht="45" x14ac:dyDescent="0.25">
      <c r="B62" s="60" t="s">
        <v>89</v>
      </c>
      <c r="C62" s="55" t="s">
        <v>90</v>
      </c>
      <c r="D62" s="55"/>
    </row>
    <row r="63" spans="2:4" x14ac:dyDescent="0.25">
      <c r="B63" s="60"/>
      <c r="C63" s="55"/>
      <c r="D63" s="55"/>
    </row>
    <row r="64" spans="2:4" ht="60" x14ac:dyDescent="0.25">
      <c r="B64" s="60" t="s">
        <v>91</v>
      </c>
      <c r="C64" s="55" t="s">
        <v>92</v>
      </c>
      <c r="D64" s="55"/>
    </row>
    <row r="65" spans="2:4" x14ac:dyDescent="0.25">
      <c r="B65" s="60"/>
      <c r="C65" s="55"/>
      <c r="D65" s="55"/>
    </row>
    <row r="66" spans="2:4" ht="45" x14ac:dyDescent="0.25">
      <c r="B66" s="60" t="s">
        <v>93</v>
      </c>
      <c r="C66" s="55" t="s">
        <v>94</v>
      </c>
      <c r="D66" s="55"/>
    </row>
    <row r="67" spans="2:4" x14ac:dyDescent="0.25">
      <c r="B67" s="63"/>
      <c r="C67" s="55"/>
      <c r="D67" s="55"/>
    </row>
    <row r="68" spans="2:4" ht="45" x14ac:dyDescent="0.25">
      <c r="B68" s="60" t="s">
        <v>95</v>
      </c>
      <c r="C68" s="61" t="s">
        <v>96</v>
      </c>
      <c r="D68" s="55"/>
    </row>
    <row r="69" spans="2:4" ht="75" x14ac:dyDescent="0.25">
      <c r="B69" s="60" t="s">
        <v>97</v>
      </c>
      <c r="C69" s="61" t="s">
        <v>98</v>
      </c>
      <c r="D69" s="55"/>
    </row>
    <row r="70" spans="2:4" ht="45" x14ac:dyDescent="0.25">
      <c r="B70" s="60" t="s">
        <v>99</v>
      </c>
      <c r="C70" s="55" t="s">
        <v>100</v>
      </c>
      <c r="D70" s="55"/>
    </row>
    <row r="71" spans="2:4" x14ac:dyDescent="0.25">
      <c r="B71" s="60"/>
      <c r="C71" s="56"/>
      <c r="D71" s="55"/>
    </row>
    <row r="72" spans="2:4" ht="45" x14ac:dyDescent="0.25">
      <c r="B72" s="60" t="s">
        <v>101</v>
      </c>
      <c r="C72" s="55" t="s">
        <v>102</v>
      </c>
      <c r="D72" s="55"/>
    </row>
    <row r="73" spans="2:4" x14ac:dyDescent="0.25">
      <c r="B73" s="60"/>
      <c r="C73" s="56"/>
      <c r="D73" s="55"/>
    </row>
    <row r="74" spans="2:4" ht="75" x14ac:dyDescent="0.25">
      <c r="B74" s="60" t="s">
        <v>103</v>
      </c>
      <c r="C74" s="55" t="s">
        <v>104</v>
      </c>
      <c r="D74" s="55"/>
    </row>
    <row r="75" spans="2:4" x14ac:dyDescent="0.25">
      <c r="B75" s="60"/>
      <c r="C75" s="55"/>
      <c r="D75" s="55"/>
    </row>
    <row r="76" spans="2:4" ht="45" x14ac:dyDescent="0.25">
      <c r="B76" s="60" t="s">
        <v>105</v>
      </c>
      <c r="C76" s="55" t="s">
        <v>106</v>
      </c>
      <c r="D76" s="55"/>
    </row>
    <row r="77" spans="2:4" x14ac:dyDescent="0.25">
      <c r="B77" s="60"/>
      <c r="C77" s="55"/>
      <c r="D77" s="55"/>
    </row>
    <row r="78" spans="2:4" ht="45" x14ac:dyDescent="0.25">
      <c r="B78" s="54" t="s">
        <v>107</v>
      </c>
      <c r="C78" s="55" t="s">
        <v>108</v>
      </c>
      <c r="D78" s="55"/>
    </row>
    <row r="79" spans="2:4" x14ac:dyDescent="0.25">
      <c r="B79" s="54"/>
      <c r="C79" s="55"/>
      <c r="D79" s="55"/>
    </row>
    <row r="80" spans="2:4" ht="45" x14ac:dyDescent="0.25">
      <c r="B80" s="54" t="s">
        <v>109</v>
      </c>
      <c r="C80" s="55" t="s">
        <v>110</v>
      </c>
      <c r="D80" s="55"/>
    </row>
    <row r="81" spans="2:4" x14ac:dyDescent="0.25">
      <c r="B81" s="60"/>
      <c r="C81" s="56"/>
      <c r="D81" s="55"/>
    </row>
    <row r="82" spans="2:4" ht="45" x14ac:dyDescent="0.25">
      <c r="B82" s="60" t="s">
        <v>111</v>
      </c>
      <c r="C82" s="55" t="s">
        <v>112</v>
      </c>
      <c r="D82" s="55"/>
    </row>
    <row r="83" spans="2:4" x14ac:dyDescent="0.25">
      <c r="B83" s="60"/>
      <c r="C83" s="55"/>
      <c r="D83" s="55"/>
    </row>
    <row r="84" spans="2:4" ht="90" x14ac:dyDescent="0.25">
      <c r="B84" s="60" t="s">
        <v>113</v>
      </c>
      <c r="C84" s="55" t="s">
        <v>114</v>
      </c>
      <c r="D84" s="55"/>
    </row>
    <row r="85" spans="2:4" x14ac:dyDescent="0.25">
      <c r="B85" s="60"/>
      <c r="C85" s="56"/>
      <c r="D85" s="55"/>
    </row>
    <row r="86" spans="2:4" ht="75" x14ac:dyDescent="0.25">
      <c r="B86" s="60" t="s">
        <v>115</v>
      </c>
      <c r="C86" s="55" t="s">
        <v>116</v>
      </c>
      <c r="D86" s="55"/>
    </row>
    <row r="87" spans="2:4" x14ac:dyDescent="0.25">
      <c r="B87" s="60"/>
      <c r="C87" s="55"/>
      <c r="D87" s="55"/>
    </row>
    <row r="88" spans="2:4" ht="45" x14ac:dyDescent="0.25">
      <c r="B88" s="54" t="s">
        <v>117</v>
      </c>
      <c r="C88" s="55" t="s">
        <v>118</v>
      </c>
      <c r="D88" s="55"/>
    </row>
    <row r="89" spans="2:4" x14ac:dyDescent="0.25">
      <c r="B89" s="60"/>
      <c r="C89" s="55"/>
      <c r="D89" s="55"/>
    </row>
    <row r="90" spans="2:4" ht="45" x14ac:dyDescent="0.25">
      <c r="B90" s="60" t="s">
        <v>119</v>
      </c>
      <c r="C90" s="55" t="s">
        <v>120</v>
      </c>
      <c r="D90" s="55"/>
    </row>
    <row r="91" spans="2:4" x14ac:dyDescent="0.25">
      <c r="B91" s="60"/>
      <c r="C91" s="55"/>
      <c r="D91" s="55"/>
    </row>
    <row r="92" spans="2:4" ht="45" x14ac:dyDescent="0.25">
      <c r="B92" s="60" t="s">
        <v>121</v>
      </c>
      <c r="C92" s="55" t="s">
        <v>122</v>
      </c>
      <c r="D92" s="55"/>
    </row>
    <row r="93" spans="2:4" x14ac:dyDescent="0.25">
      <c r="B93" s="60"/>
      <c r="C93" s="55"/>
      <c r="D93" s="55"/>
    </row>
    <row r="94" spans="2:4" x14ac:dyDescent="0.25">
      <c r="B94" s="60"/>
      <c r="C94" s="56"/>
      <c r="D94" s="55"/>
    </row>
    <row r="95" spans="2:4" ht="60" x14ac:dyDescent="0.25">
      <c r="B95" s="54" t="s">
        <v>123</v>
      </c>
      <c r="C95" s="55" t="s">
        <v>124</v>
      </c>
      <c r="D95" s="55"/>
    </row>
    <row r="96" spans="2:4" x14ac:dyDescent="0.25">
      <c r="B96" s="54"/>
      <c r="C96" s="55"/>
      <c r="D96" s="55"/>
    </row>
    <row r="97" spans="2:4" ht="60" x14ac:dyDescent="0.25">
      <c r="B97" s="54" t="s">
        <v>125</v>
      </c>
      <c r="C97" s="55" t="s">
        <v>126</v>
      </c>
      <c r="D97" s="55"/>
    </row>
    <row r="98" spans="2:4" x14ac:dyDescent="0.25">
      <c r="B98" s="54"/>
      <c r="C98" s="55"/>
      <c r="D98" s="55"/>
    </row>
    <row r="99" spans="2:4" ht="60" x14ac:dyDescent="0.25">
      <c r="B99" s="54" t="s">
        <v>127</v>
      </c>
      <c r="C99" s="55" t="s">
        <v>128</v>
      </c>
      <c r="D99" s="55"/>
    </row>
    <row r="100" spans="2:4" x14ac:dyDescent="0.25">
      <c r="B100" s="54"/>
      <c r="C100" s="55"/>
      <c r="D100" s="55"/>
    </row>
    <row r="101" spans="2:4" ht="60" x14ac:dyDescent="0.25">
      <c r="B101" s="60" t="s">
        <v>129</v>
      </c>
      <c r="C101" s="55" t="s">
        <v>130</v>
      </c>
      <c r="D101" s="55"/>
    </row>
    <row r="102" spans="2:4" ht="15.75" thickBot="1" x14ac:dyDescent="0.3">
      <c r="B102" s="37"/>
      <c r="C102" s="64"/>
    </row>
  </sheetData>
  <sheetProtection algorithmName="SHA-512" hashValue="0q4EqCksgHT8SSY9Ob7qCfotdrFv/kGwu+Ez/AuhNezEGAhvI+PVYswfXkTfJVg+9WUfBS8h4FH1C0SxEkbrVw==" saltValue="NCfW+VXBGTBDzKgy3seUyw==" spinCount="100000" sheet="1" objects="1" scenarios="1"/>
  <hyperlinks>
    <hyperlink ref="C15" r:id="rId1" xr:uid="{74E835B9-C9E8-4A35-8A66-2FC09ED51C20}"/>
    <hyperlink ref="C12" r:id="rId2" xr:uid="{7D2BF46B-2C6D-4A74-A973-2899108A2388}"/>
  </hyperlinks>
  <pageMargins left="0.7" right="0.7" top="0.75" bottom="0.75" header="0.3" footer="0.3"/>
  <pageSetup paperSize="9" orientation="portrait" horizontalDpi="4294967293" verticalDpi="12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B13DB-8724-41BC-9253-4542F1356DD1}">
  <sheetPr codeName="Sheet4">
    <tabColor rgb="FF00B050"/>
  </sheetPr>
  <dimension ref="A2:H24"/>
  <sheetViews>
    <sheetView showGridLines="0" workbookViewId="0">
      <selection activeCell="H14" sqref="H14"/>
    </sheetView>
  </sheetViews>
  <sheetFormatPr defaultColWidth="9" defaultRowHeight="15" x14ac:dyDescent="0.25"/>
  <cols>
    <col min="1" max="1" width="9" style="10"/>
    <col min="2" max="2" width="54.28515625" style="10" customWidth="1"/>
    <col min="3" max="3" width="15.42578125" style="10" customWidth="1"/>
    <col min="4" max="4" width="14.28515625" style="10" customWidth="1"/>
    <col min="5" max="5" width="19.5703125" style="10" customWidth="1"/>
    <col min="6" max="7" width="13.42578125" style="10" customWidth="1"/>
    <col min="8" max="8" width="13.140625" style="10" bestFit="1" customWidth="1"/>
    <col min="9" max="16384" width="9" style="10"/>
  </cols>
  <sheetData>
    <row r="2" spans="1:8" ht="12" customHeight="1" x14ac:dyDescent="0.5">
      <c r="A2" s="5"/>
    </row>
    <row r="3" spans="1:8" ht="31.5" x14ac:dyDescent="0.5">
      <c r="A3" s="5"/>
      <c r="B3" s="5"/>
      <c r="D3" s="5" t="s">
        <v>0</v>
      </c>
    </row>
    <row r="5" spans="1:8" ht="45.95" customHeight="1" x14ac:dyDescent="0.25"/>
    <row r="7" spans="1:8" ht="21.75" thickBot="1" x14ac:dyDescent="0.4">
      <c r="B7" s="6" t="s">
        <v>4</v>
      </c>
      <c r="C7" s="11"/>
      <c r="D7" s="11"/>
      <c r="E7" s="11"/>
      <c r="F7" s="11"/>
      <c r="G7" s="11"/>
      <c r="H7" s="11"/>
    </row>
    <row r="9" spans="1:8" ht="16.5" thickBot="1" x14ac:dyDescent="0.3">
      <c r="B9" s="46" t="s">
        <v>131</v>
      </c>
      <c r="C9" s="46" t="s">
        <v>132</v>
      </c>
      <c r="D9" s="46" t="s">
        <v>133</v>
      </c>
      <c r="E9" s="46" t="s">
        <v>134</v>
      </c>
      <c r="F9" s="46">
        <v>2023</v>
      </c>
      <c r="G9" s="46">
        <v>2022</v>
      </c>
      <c r="H9" s="46" t="s">
        <v>135</v>
      </c>
    </row>
    <row r="10" spans="1:8" ht="15" customHeight="1" x14ac:dyDescent="0.25">
      <c r="B10" s="10" t="s">
        <v>136</v>
      </c>
      <c r="C10" s="10" t="s">
        <v>137</v>
      </c>
      <c r="D10" s="10" t="s">
        <v>138</v>
      </c>
      <c r="E10" s="10" t="s">
        <v>139</v>
      </c>
      <c r="F10" s="28">
        <f>'4'!F10+'6'!F10</f>
        <v>2614845.4920000006</v>
      </c>
      <c r="G10" s="28">
        <v>2699814</v>
      </c>
      <c r="H10" s="15">
        <f t="shared" ref="H10:H19" si="0">(F10-G10)/G10</f>
        <v>-3.1471985847913761E-2</v>
      </c>
    </row>
    <row r="11" spans="1:8" ht="15" customHeight="1" x14ac:dyDescent="0.25">
      <c r="B11" s="10" t="s">
        <v>140</v>
      </c>
      <c r="C11" s="10" t="s">
        <v>141</v>
      </c>
      <c r="D11" s="10" t="s">
        <v>138</v>
      </c>
      <c r="E11" s="10" t="s">
        <v>139</v>
      </c>
      <c r="F11" s="28">
        <f>F10</f>
        <v>2614845.4920000006</v>
      </c>
      <c r="G11" s="28">
        <v>2699814</v>
      </c>
      <c r="H11" s="15">
        <f t="shared" si="0"/>
        <v>-3.1471985847913761E-2</v>
      </c>
    </row>
    <row r="12" spans="1:8" ht="15" customHeight="1" x14ac:dyDescent="0.25">
      <c r="B12" s="10" t="s">
        <v>142</v>
      </c>
      <c r="C12" s="10" t="s">
        <v>143</v>
      </c>
      <c r="D12" s="10" t="s">
        <v>138</v>
      </c>
      <c r="E12" s="10" t="s">
        <v>139</v>
      </c>
      <c r="F12" s="28">
        <f>'4'!F14</f>
        <v>3167981.7749999999</v>
      </c>
      <c r="G12" s="28">
        <v>3539037</v>
      </c>
      <c r="H12" s="15">
        <f t="shared" si="0"/>
        <v>-0.10484638193949374</v>
      </c>
    </row>
    <row r="13" spans="1:8" ht="15" customHeight="1" x14ac:dyDescent="0.25">
      <c r="B13" s="10" t="s">
        <v>144</v>
      </c>
      <c r="C13" s="10" t="s">
        <v>145</v>
      </c>
      <c r="D13" s="10" t="s">
        <v>138</v>
      </c>
      <c r="E13" s="10" t="s">
        <v>139</v>
      </c>
      <c r="F13" s="28">
        <f>F12</f>
        <v>3167981.7749999999</v>
      </c>
      <c r="G13" s="28">
        <v>3539037</v>
      </c>
      <c r="H13" s="15">
        <f t="shared" si="0"/>
        <v>-0.10484638193949374</v>
      </c>
    </row>
    <row r="14" spans="1:8" ht="15" customHeight="1" x14ac:dyDescent="0.35">
      <c r="B14" s="10" t="s">
        <v>146</v>
      </c>
      <c r="C14" s="10" t="s">
        <v>147</v>
      </c>
      <c r="D14" s="10" t="s">
        <v>148</v>
      </c>
      <c r="E14" s="10" t="s">
        <v>149</v>
      </c>
      <c r="F14" s="28">
        <f>'4'!F18</f>
        <v>538.06903255665009</v>
      </c>
      <c r="G14" s="28">
        <f>'4'!H18</f>
        <v>601.09127830200009</v>
      </c>
      <c r="H14" s="15">
        <f t="shared" si="0"/>
        <v>-0.10484638193949371</v>
      </c>
    </row>
    <row r="15" spans="1:8" ht="15" customHeight="1" x14ac:dyDescent="0.35">
      <c r="B15" s="10" t="s">
        <v>150</v>
      </c>
      <c r="C15" s="10" t="s">
        <v>151</v>
      </c>
      <c r="D15" s="10" t="s">
        <v>152</v>
      </c>
      <c r="E15" s="10" t="s">
        <v>153</v>
      </c>
      <c r="F15" s="28">
        <f>'4'!F20+'6'!F13</f>
        <v>813.16629899037309</v>
      </c>
      <c r="G15" s="28">
        <f>'4'!H20+'6'!H13</f>
        <v>851.76814673920001</v>
      </c>
      <c r="H15" s="15">
        <f t="shared" si="0"/>
        <v>-4.531966579943765E-2</v>
      </c>
    </row>
    <row r="16" spans="1:8" ht="15" customHeight="1" x14ac:dyDescent="0.25">
      <c r="B16" s="10" t="s">
        <v>154</v>
      </c>
      <c r="C16" s="10" t="s">
        <v>155</v>
      </c>
      <c r="D16" s="10" t="s">
        <v>156</v>
      </c>
      <c r="E16" s="10" t="s">
        <v>157</v>
      </c>
      <c r="F16" s="28">
        <f>'4'!F22</f>
        <v>8486.8430000000008</v>
      </c>
      <c r="G16" s="28">
        <v>6905</v>
      </c>
      <c r="H16" s="15">
        <f t="shared" si="0"/>
        <v>0.2290866039102101</v>
      </c>
    </row>
    <row r="17" spans="2:8" ht="15" customHeight="1" x14ac:dyDescent="0.25">
      <c r="B17" s="10" t="s">
        <v>158</v>
      </c>
      <c r="C17" s="10" t="s">
        <v>159</v>
      </c>
      <c r="D17" s="10" t="s">
        <v>156</v>
      </c>
      <c r="E17" s="10" t="s">
        <v>157</v>
      </c>
      <c r="F17" s="28">
        <f>F16</f>
        <v>8486.8430000000008</v>
      </c>
      <c r="G17" s="28">
        <v>6905</v>
      </c>
      <c r="H17" s="15">
        <f t="shared" si="0"/>
        <v>0.2290866039102101</v>
      </c>
    </row>
    <row r="18" spans="2:8" ht="15" customHeight="1" x14ac:dyDescent="0.25">
      <c r="B18" s="10" t="s">
        <v>160</v>
      </c>
      <c r="C18" s="10" t="s">
        <v>161</v>
      </c>
      <c r="D18" s="10" t="s">
        <v>162</v>
      </c>
      <c r="E18" s="10" t="s">
        <v>163</v>
      </c>
      <c r="F18" s="28">
        <f>'4'!F25+'6'!F19</f>
        <v>271.75130408750442</v>
      </c>
      <c r="G18" s="28">
        <v>275</v>
      </c>
      <c r="H18" s="15">
        <f t="shared" si="0"/>
        <v>-1.1813439681802099E-2</v>
      </c>
    </row>
    <row r="19" spans="2:8" ht="15" customHeight="1" thickBot="1" x14ac:dyDescent="0.3">
      <c r="B19" s="11" t="s">
        <v>164</v>
      </c>
      <c r="C19" s="11" t="s">
        <v>165</v>
      </c>
      <c r="D19" s="11" t="s">
        <v>162</v>
      </c>
      <c r="E19" s="11" t="s">
        <v>163</v>
      </c>
      <c r="F19" s="47">
        <f>F18</f>
        <v>271.75130408750442</v>
      </c>
      <c r="G19" s="48">
        <v>275</v>
      </c>
      <c r="H19" s="41">
        <f t="shared" si="0"/>
        <v>-1.1813439681802099E-2</v>
      </c>
    </row>
    <row r="20" spans="2:8" ht="15" customHeight="1" x14ac:dyDescent="0.25">
      <c r="H20" s="15"/>
    </row>
    <row r="21" spans="2:8" ht="15" customHeight="1" x14ac:dyDescent="0.25">
      <c r="B21" s="49"/>
    </row>
    <row r="22" spans="2:8" ht="15" customHeight="1" x14ac:dyDescent="0.25">
      <c r="B22" s="50"/>
    </row>
    <row r="23" spans="2:8" ht="15" customHeight="1" x14ac:dyDescent="0.25">
      <c r="B23" s="9"/>
    </row>
    <row r="24" spans="2:8" x14ac:dyDescent="0.25">
      <c r="B24" s="51"/>
    </row>
  </sheetData>
  <sheetProtection algorithmName="SHA-512" hashValue="uK7doAk4J9jLa2PxVLKIunQiJ8cKIq3EiZEZ69F+NCgurrvyorbf75QPMms9zFV5FZT+CBh2tXngcb3wAUtvBw==" saltValue="nSMLPJRGYgWTMFkgp8MYnA==" spinCount="100000" sheet="1" objects="1" scenarios="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59F-482B-4167-BA71-75809F761718}">
  <sheetPr codeName="Sheet5">
    <tabColor rgb="FF00B050"/>
  </sheetPr>
  <dimension ref="A2:J38"/>
  <sheetViews>
    <sheetView showGridLines="0" workbookViewId="0">
      <selection activeCell="F13" sqref="F13"/>
    </sheetView>
  </sheetViews>
  <sheetFormatPr defaultColWidth="9" defaultRowHeight="15" x14ac:dyDescent="0.25"/>
  <cols>
    <col min="1" max="1" width="4.42578125" style="10" customWidth="1"/>
    <col min="2" max="2" width="45.85546875" style="10" customWidth="1"/>
    <col min="3" max="3" width="16.5703125" style="10" customWidth="1"/>
    <col min="4" max="4" width="13.5703125" style="10" customWidth="1"/>
    <col min="5" max="5" width="33" style="10" customWidth="1"/>
    <col min="6" max="6" width="17.7109375" style="10" customWidth="1"/>
    <col min="7" max="7" width="15" style="10" customWidth="1"/>
    <col min="8" max="8" width="18.7109375" style="10" customWidth="1"/>
    <col min="9" max="9" width="16.42578125" style="10" customWidth="1"/>
    <col min="10" max="16384" width="9" style="10"/>
  </cols>
  <sheetData>
    <row r="2" spans="1:10" ht="12" customHeight="1" x14ac:dyDescent="0.5">
      <c r="A2" s="5"/>
    </row>
    <row r="3" spans="1:10" ht="31.5" x14ac:dyDescent="0.5">
      <c r="A3" s="5"/>
      <c r="B3" s="5"/>
      <c r="D3" s="5"/>
      <c r="E3" s="5" t="s">
        <v>166</v>
      </c>
      <c r="G3" s="5"/>
    </row>
    <row r="5" spans="1:10" ht="45" customHeight="1" x14ac:dyDescent="0.25"/>
    <row r="7" spans="1:10" ht="21.75" thickBot="1" x14ac:dyDescent="0.4">
      <c r="B7" s="6" t="s">
        <v>5</v>
      </c>
      <c r="C7" s="11"/>
      <c r="D7" s="11"/>
      <c r="E7" s="11"/>
      <c r="F7" s="11"/>
      <c r="G7" s="11"/>
      <c r="H7" s="11"/>
      <c r="I7" s="11"/>
      <c r="J7" s="11"/>
    </row>
    <row r="9" spans="1:10" ht="41.25" customHeight="1" x14ac:dyDescent="0.25">
      <c r="B9" s="23" t="s">
        <v>131</v>
      </c>
      <c r="C9" s="23" t="s">
        <v>132</v>
      </c>
      <c r="D9" s="23" t="s">
        <v>133</v>
      </c>
      <c r="E9" s="23" t="s">
        <v>167</v>
      </c>
      <c r="F9" s="23">
        <v>2023</v>
      </c>
      <c r="G9" s="7" t="s">
        <v>168</v>
      </c>
      <c r="H9" s="23">
        <v>2022</v>
      </c>
      <c r="I9" s="7" t="s">
        <v>168</v>
      </c>
      <c r="J9" s="23" t="s">
        <v>135</v>
      </c>
    </row>
    <row r="10" spans="1:10" x14ac:dyDescent="0.25">
      <c r="B10" s="10" t="s">
        <v>136</v>
      </c>
      <c r="C10" s="10" t="s">
        <v>137</v>
      </c>
      <c r="D10" s="10" t="s">
        <v>138</v>
      </c>
      <c r="E10" s="10" t="s">
        <v>139</v>
      </c>
      <c r="F10" s="24">
        <f>SUMIFS('[6]Electricity 2023'!S11:S67, '[6]Electricity 2023'!B11:B67, "Yes", '[6]Electricity 2023'!C11:C67, "office", '[6]Electricity 2023'!D11:D67, "Electric Power - Shared Services")+'[6]Electricity 2023'!S14+'[6]Electricity 2023'!S28</f>
        <v>2382322.0520000006</v>
      </c>
      <c r="G10" s="25" t="s">
        <v>169</v>
      </c>
      <c r="H10" s="24">
        <v>2489806</v>
      </c>
      <c r="I10" s="25" t="s">
        <v>169</v>
      </c>
      <c r="J10" s="15">
        <f>(F10-H10)/H10</f>
        <v>-4.3169607591916556E-2</v>
      </c>
    </row>
    <row r="11" spans="1:10" x14ac:dyDescent="0.25">
      <c r="E11" s="10" t="s">
        <v>170</v>
      </c>
      <c r="F11" s="27">
        <f>SUM('[6]Electricity 2023'!S14,'[6]Electricity 2023'!S28)</f>
        <v>49153.549999999996</v>
      </c>
      <c r="G11" s="25" t="s">
        <v>171</v>
      </c>
      <c r="H11" s="24">
        <v>12326</v>
      </c>
      <c r="I11" s="25" t="s">
        <v>171</v>
      </c>
      <c r="J11" s="15">
        <f>(F11-H11)/H11</f>
        <v>2.9877940937854937</v>
      </c>
    </row>
    <row r="12" spans="1:10" x14ac:dyDescent="0.25">
      <c r="E12" s="10" t="s">
        <v>172</v>
      </c>
      <c r="F12" s="26">
        <v>1</v>
      </c>
      <c r="G12" s="25"/>
      <c r="H12" s="42">
        <v>1</v>
      </c>
      <c r="I12" s="25"/>
      <c r="J12" s="14">
        <v>0</v>
      </c>
    </row>
    <row r="13" spans="1:10" x14ac:dyDescent="0.25">
      <c r="B13" s="10" t="s">
        <v>140</v>
      </c>
      <c r="C13" s="10" t="s">
        <v>141</v>
      </c>
      <c r="D13" s="10" t="s">
        <v>138</v>
      </c>
      <c r="E13" s="10" t="s">
        <v>139</v>
      </c>
      <c r="F13" s="28">
        <f>F10</f>
        <v>2382322.0520000006</v>
      </c>
      <c r="G13" s="25" t="s">
        <v>169</v>
      </c>
      <c r="H13" s="28">
        <v>2489806</v>
      </c>
      <c r="I13" s="25" t="s">
        <v>169</v>
      </c>
      <c r="J13" s="15">
        <f t="shared" ref="J13:J18" si="0">(F13-H13)/H13</f>
        <v>-4.3169607591916556E-2</v>
      </c>
    </row>
    <row r="14" spans="1:10" x14ac:dyDescent="0.25">
      <c r="B14" s="10" t="s">
        <v>142</v>
      </c>
      <c r="C14" s="10" t="s">
        <v>143</v>
      </c>
      <c r="D14" s="10" t="s">
        <v>138</v>
      </c>
      <c r="E14" s="10" t="s">
        <v>139</v>
      </c>
      <c r="F14" s="28">
        <f>SUMIFS([6]!Tbl_Gas[Total],[6]!Tbl_Gas[Managed],"yes",[6]!Tbl_Gas[Source],"Natural Gas - whole building",[6]!Tbl_Gas[Office/resi],"office")</f>
        <v>3167981.7749999999</v>
      </c>
      <c r="G14" s="25" t="s">
        <v>169</v>
      </c>
      <c r="H14" s="28">
        <v>3539037</v>
      </c>
      <c r="I14" s="25" t="s">
        <v>169</v>
      </c>
      <c r="J14" s="15">
        <f t="shared" si="0"/>
        <v>-0.10484638193949374</v>
      </c>
    </row>
    <row r="15" spans="1:10" x14ac:dyDescent="0.25">
      <c r="B15" s="10" t="s">
        <v>144</v>
      </c>
      <c r="C15" s="10" t="s">
        <v>145</v>
      </c>
      <c r="D15" s="10" t="s">
        <v>138</v>
      </c>
      <c r="E15" s="10" t="s">
        <v>139</v>
      </c>
      <c r="F15" s="28">
        <f>SUMIFS('[6]Gas 2023'!S11:S32, '[6]Gas 2023'!B11:B32, "Yes", '[6]Gas 2023'!C11:C32, "Office", '[6]Gas 2023'!D11:D32, "Natural Gas - Whole Building")</f>
        <v>3167981.7749999999</v>
      </c>
      <c r="G15" s="25" t="s">
        <v>169</v>
      </c>
      <c r="H15" s="28">
        <v>3539037</v>
      </c>
      <c r="I15" s="25" t="s">
        <v>169</v>
      </c>
      <c r="J15" s="15">
        <f t="shared" si="0"/>
        <v>-0.10484638193949374</v>
      </c>
    </row>
    <row r="16" spans="1:10" ht="16.5" x14ac:dyDescent="0.25">
      <c r="B16" s="10" t="s">
        <v>173</v>
      </c>
      <c r="C16" s="10" t="s">
        <v>174</v>
      </c>
      <c r="D16" s="10" t="s">
        <v>175</v>
      </c>
      <c r="E16" s="10" t="s">
        <v>176</v>
      </c>
      <c r="F16" s="28">
        <f>(F10+F14)/'[6]Asset list'!F30</f>
        <v>78.844022771180192</v>
      </c>
      <c r="G16" s="25" t="s">
        <v>169</v>
      </c>
      <c r="H16" s="28">
        <v>86</v>
      </c>
      <c r="I16" s="25" t="s">
        <v>169</v>
      </c>
      <c r="J16" s="15">
        <f t="shared" si="0"/>
        <v>-8.3209037544416373E-2</v>
      </c>
    </row>
    <row r="17" spans="2:10" ht="16.5" x14ac:dyDescent="0.25">
      <c r="B17" s="10" t="s">
        <v>177</v>
      </c>
      <c r="C17" s="10" t="s">
        <v>178</v>
      </c>
      <c r="D17" s="10" t="s">
        <v>175</v>
      </c>
      <c r="E17" s="10" t="s">
        <v>176</v>
      </c>
      <c r="F17" s="28">
        <f>(F10+F14)/'[6]Asset list'!F30</f>
        <v>78.844022771180192</v>
      </c>
      <c r="G17" s="25" t="s">
        <v>169</v>
      </c>
      <c r="H17" s="28">
        <v>86</v>
      </c>
      <c r="I17" s="25" t="s">
        <v>169</v>
      </c>
      <c r="J17" s="15">
        <f t="shared" si="0"/>
        <v>-8.3209037544416373E-2</v>
      </c>
    </row>
    <row r="18" spans="2:10" ht="18" x14ac:dyDescent="0.35">
      <c r="B18" s="10" t="s">
        <v>146</v>
      </c>
      <c r="C18" s="10" t="s">
        <v>147</v>
      </c>
      <c r="D18" s="10" t="s">
        <v>148</v>
      </c>
      <c r="E18" s="10" t="s">
        <v>149</v>
      </c>
      <c r="F18" s="28">
        <f>(F14*'[6]IEA CO2e Conversion Factors'!M3)/1000000</f>
        <v>538.06903255665009</v>
      </c>
      <c r="G18" s="25" t="s">
        <v>169</v>
      </c>
      <c r="H18" s="28">
        <f>(H14*'[6]IEA CO2e Conversion Factors'!M3)/1000000</f>
        <v>601.09127830200009</v>
      </c>
      <c r="I18" s="25" t="s">
        <v>169</v>
      </c>
      <c r="J18" s="15">
        <f t="shared" si="0"/>
        <v>-0.10484638193949371</v>
      </c>
    </row>
    <row r="19" spans="2:10" ht="18" x14ac:dyDescent="0.35">
      <c r="B19" s="10" t="s">
        <v>179</v>
      </c>
      <c r="C19" s="29" t="s">
        <v>180</v>
      </c>
      <c r="D19" s="10" t="s">
        <v>152</v>
      </c>
      <c r="E19" s="29" t="s">
        <v>181</v>
      </c>
      <c r="F19" s="43">
        <v>0</v>
      </c>
      <c r="G19" s="25" t="s">
        <v>169</v>
      </c>
      <c r="H19" s="44">
        <v>0</v>
      </c>
      <c r="I19" s="25" t="s">
        <v>169</v>
      </c>
      <c r="J19" s="14">
        <v>0</v>
      </c>
    </row>
    <row r="20" spans="2:10" ht="18" x14ac:dyDescent="0.35">
      <c r="E20" s="10" t="s">
        <v>153</v>
      </c>
      <c r="F20" s="28">
        <f>((F10*'[6]IEA CO2e Conversion Factors'!C3)/1000000)-((F11*'[6]IEA CO2e Conversion Factors'!C3)/1000000)</f>
        <v>739.47069195427707</v>
      </c>
      <c r="G20" s="25"/>
      <c r="H20" s="28">
        <f>((H10*'[6]IEA CO2e Conversion Factors'!C3)/1000000)-((H11*'[6]IEA CO2e Conversion Factors'!C3)/1000000)</f>
        <v>785.208547232</v>
      </c>
      <c r="I20" s="25"/>
      <c r="J20" s="15">
        <f t="shared" ref="J20:J32" si="1">(F20-H20)/H20</f>
        <v>-5.8249308975248701E-2</v>
      </c>
    </row>
    <row r="21" spans="2:10" ht="18" x14ac:dyDescent="0.35">
      <c r="B21" s="10" t="s">
        <v>182</v>
      </c>
      <c r="C21" s="10" t="s">
        <v>183</v>
      </c>
      <c r="D21" s="10" t="s">
        <v>184</v>
      </c>
      <c r="E21" s="10" t="s">
        <v>185</v>
      </c>
      <c r="F21" s="31">
        <f>(F20+F18)/'[6]Asset list'!F30</f>
        <v>1.814790221761076E-2</v>
      </c>
      <c r="G21" s="25" t="s">
        <v>169</v>
      </c>
      <c r="H21" s="31">
        <f>(H20+H18)/'[6]Asset list'!F30</f>
        <v>1.9692877798937442E-2</v>
      </c>
      <c r="I21" s="25" t="s">
        <v>169</v>
      </c>
      <c r="J21" s="15">
        <f t="shared" si="1"/>
        <v>-7.8453519952784309E-2</v>
      </c>
    </row>
    <row r="22" spans="2:10" ht="16.5" x14ac:dyDescent="0.25">
      <c r="B22" s="10" t="s">
        <v>154</v>
      </c>
      <c r="C22" s="10" t="s">
        <v>155</v>
      </c>
      <c r="D22" s="10" t="s">
        <v>156</v>
      </c>
      <c r="E22" s="10" t="s">
        <v>157</v>
      </c>
      <c r="F22" s="28">
        <f>SUMIFS('[6]Water 2023'!S11:S33, '[6]Water 2023'!B11:B33, "Yes", '[6]Water 2023'!C11:C33, "Office", '[6]Water 2023'!D11:D33, "Water - Landlord")</f>
        <v>8486.8430000000008</v>
      </c>
      <c r="G22" s="25" t="s">
        <v>169</v>
      </c>
      <c r="H22" s="28">
        <v>6905</v>
      </c>
      <c r="I22" s="25" t="s">
        <v>169</v>
      </c>
      <c r="J22" s="15">
        <f t="shared" si="1"/>
        <v>0.2290866039102101</v>
      </c>
    </row>
    <row r="23" spans="2:10" ht="16.5" x14ac:dyDescent="0.25">
      <c r="B23" s="10" t="s">
        <v>158</v>
      </c>
      <c r="C23" s="10" t="s">
        <v>159</v>
      </c>
      <c r="D23" s="10" t="s">
        <v>156</v>
      </c>
      <c r="E23" s="10" t="s">
        <v>157</v>
      </c>
      <c r="F23" s="28">
        <f>SUMIFS('[6]Water 2023'!S11:S33, '[6]Water 2023'!B11:B33, "Yes", '[6]Water 2023'!C11:C33, "Office", '[6]Water 2023'!D11:D33, "Water - Landlord")</f>
        <v>8486.8430000000008</v>
      </c>
      <c r="G23" s="25" t="s">
        <v>169</v>
      </c>
      <c r="H23" s="28">
        <v>6905</v>
      </c>
      <c r="I23" s="25" t="s">
        <v>169</v>
      </c>
      <c r="J23" s="15">
        <f t="shared" si="1"/>
        <v>0.2290866039102101</v>
      </c>
    </row>
    <row r="24" spans="2:10" ht="16.5" x14ac:dyDescent="0.25">
      <c r="B24" s="10" t="s">
        <v>186</v>
      </c>
      <c r="C24" s="10" t="s">
        <v>187</v>
      </c>
      <c r="D24" s="32">
        <v>303.5</v>
      </c>
      <c r="E24" s="10" t="s">
        <v>188</v>
      </c>
      <c r="F24" s="33">
        <f>F23/'[6]Asset list'!F30</f>
        <v>0.12055859707937952</v>
      </c>
      <c r="G24" s="25" t="s">
        <v>169</v>
      </c>
      <c r="H24" s="33">
        <v>0.1</v>
      </c>
      <c r="I24" s="25" t="s">
        <v>169</v>
      </c>
      <c r="J24" s="15">
        <f t="shared" si="1"/>
        <v>0.20558597079379515</v>
      </c>
    </row>
    <row r="25" spans="2:10" x14ac:dyDescent="0.25">
      <c r="B25" s="10" t="s">
        <v>189</v>
      </c>
      <c r="C25" s="10" t="s">
        <v>161</v>
      </c>
      <c r="D25" s="10" t="s">
        <v>162</v>
      </c>
      <c r="E25" s="10" t="s">
        <v>163</v>
      </c>
      <c r="F25" s="28">
        <f>SUMIFS([6]!TblWaste[Total],[6]!TblWaste[Managed],"Yes",[6]!TblWaste[Office/resi],"Office")</f>
        <v>125.41900408750436</v>
      </c>
      <c r="G25" s="25" t="s">
        <v>169</v>
      </c>
      <c r="H25" s="28">
        <v>125</v>
      </c>
      <c r="I25" s="25" t="s">
        <v>169</v>
      </c>
      <c r="J25" s="15">
        <f t="shared" si="1"/>
        <v>3.3520327000348973E-3</v>
      </c>
    </row>
    <row r="26" spans="2:10" x14ac:dyDescent="0.25">
      <c r="E26" s="10" t="s">
        <v>190</v>
      </c>
      <c r="F26" s="34">
        <f>SUMIFS([6]!TblWaste[Total],[6]!TblWaste[Managed],"Yes",[6]!TblWaste[Office/resi],"Office",[6]!TblWaste[Source], "Waste - Recycled")/F25</f>
        <v>0.5025668146158494</v>
      </c>
      <c r="G26" s="25"/>
      <c r="H26" s="34">
        <v>0.51</v>
      </c>
      <c r="I26" s="25"/>
      <c r="J26" s="15">
        <f t="shared" si="1"/>
        <v>-1.4574873302256095E-2</v>
      </c>
    </row>
    <row r="27" spans="2:10" x14ac:dyDescent="0.25">
      <c r="E27" s="10" t="s">
        <v>191</v>
      </c>
      <c r="F27" s="34">
        <f>SUMIFS([6]!TblWaste[Total],[6]!TblWaste[Managed],"Yes",[6]!TblWaste[Office/resi],"Office",[6]!TblWaste[Source], "Compost")/F25</f>
        <v>0.14544008002157335</v>
      </c>
      <c r="G27" s="25"/>
      <c r="H27" s="34">
        <v>0.2</v>
      </c>
      <c r="I27" s="25"/>
      <c r="J27" s="15">
        <f t="shared" si="1"/>
        <v>-0.27279959989213326</v>
      </c>
    </row>
    <row r="28" spans="2:10" x14ac:dyDescent="0.25">
      <c r="E28" s="10" t="s">
        <v>192</v>
      </c>
      <c r="F28" s="34">
        <f>SUMIFS([6]!TblWaste[Total],[6]!TblWaste[Managed],"Yes",[6]!TblWaste[Office/resi],"Office",[6]!TblWaste[Source], "Non-Haz Waste - Mixed Waste to waste to energy")/F25</f>
        <v>0.35199310536257744</v>
      </c>
      <c r="G28" s="25"/>
      <c r="H28" s="34">
        <v>0.28000000000000003</v>
      </c>
      <c r="I28" s="25"/>
      <c r="J28" s="15">
        <f t="shared" si="1"/>
        <v>0.25711823343777646</v>
      </c>
    </row>
    <row r="29" spans="2:10" x14ac:dyDescent="0.25">
      <c r="B29" s="10" t="s">
        <v>193</v>
      </c>
      <c r="C29" s="10" t="s">
        <v>165</v>
      </c>
      <c r="D29" s="10" t="s">
        <v>162</v>
      </c>
      <c r="E29" s="10" t="s">
        <v>163</v>
      </c>
      <c r="F29" s="35">
        <f>SUMIFS([6]!TblWaste[Total],[6]!TblWaste[Managed],"Yes",[6]!TblWaste[Office/resi],"Office")</f>
        <v>125.41900408750436</v>
      </c>
      <c r="G29" s="25" t="s">
        <v>169</v>
      </c>
      <c r="H29" s="36">
        <v>125</v>
      </c>
      <c r="I29" s="25" t="s">
        <v>169</v>
      </c>
      <c r="J29" s="15">
        <f t="shared" si="1"/>
        <v>3.3520327000348973E-3</v>
      </c>
    </row>
    <row r="30" spans="2:10" x14ac:dyDescent="0.25">
      <c r="E30" s="10" t="s">
        <v>190</v>
      </c>
      <c r="F30" s="34">
        <f>SUMIFS([6]!TblWaste[Total],[6]!TblWaste[Managed],"Yes",[6]!TblWaste[Office/resi],"Office",[6]!TblWaste[Source], "Waste - Recycled")/F29</f>
        <v>0.5025668146158494</v>
      </c>
      <c r="G30" s="25"/>
      <c r="H30" s="34">
        <v>0.51</v>
      </c>
      <c r="I30" s="25"/>
      <c r="J30" s="15">
        <f t="shared" si="1"/>
        <v>-1.4574873302256095E-2</v>
      </c>
    </row>
    <row r="31" spans="2:10" x14ac:dyDescent="0.25">
      <c r="E31" s="10" t="s">
        <v>191</v>
      </c>
      <c r="F31" s="34">
        <f>SUMIFS([6]!TblWaste[Total],[6]!TblWaste[Managed],"Yes",[6]!TblWaste[Office/resi],"Office",[6]!TblWaste[Source], "Compost")/F29</f>
        <v>0.14544008002157335</v>
      </c>
      <c r="G31" s="25"/>
      <c r="H31" s="34">
        <v>0.2</v>
      </c>
      <c r="I31" s="25"/>
      <c r="J31" s="15">
        <f t="shared" si="1"/>
        <v>-0.27279959989213326</v>
      </c>
    </row>
    <row r="32" spans="2:10" ht="15.75" thickBot="1" x14ac:dyDescent="0.3">
      <c r="B32" s="37"/>
      <c r="C32" s="37"/>
      <c r="D32" s="37"/>
      <c r="E32" s="37" t="s">
        <v>192</v>
      </c>
      <c r="F32" s="45">
        <f>SUMIFS([6]!TblWaste[Total],[6]!TblWaste[Managed],"Yes",[6]!TblWaste[Office/resi],"Office",[6]!TblWaste[Source], "Non-Haz Waste - Mixed Waste to waste to energy")/F29</f>
        <v>0.35199310536257744</v>
      </c>
      <c r="G32" s="39"/>
      <c r="H32" s="40">
        <v>0.28000000000000003</v>
      </c>
      <c r="I32" s="39"/>
      <c r="J32" s="41">
        <f t="shared" si="1"/>
        <v>0.25711823343777646</v>
      </c>
    </row>
    <row r="34" spans="2:2" x14ac:dyDescent="0.25">
      <c r="B34" s="8"/>
    </row>
    <row r="35" spans="2:2" x14ac:dyDescent="0.25">
      <c r="B35" s="9"/>
    </row>
    <row r="36" spans="2:2" x14ac:dyDescent="0.25">
      <c r="B36" s="9"/>
    </row>
    <row r="37" spans="2:2" x14ac:dyDescent="0.25">
      <c r="B37" s="9"/>
    </row>
    <row r="38" spans="2:2" x14ac:dyDescent="0.25">
      <c r="B38" s="9"/>
    </row>
  </sheetData>
  <sheetProtection algorithmName="SHA-512" hashValue="JDMP9m7n+Hnz8cYrvFq9dKSX/Ci30qMBIDPDD8kuDqVR1S89XAcaec4RxGOLlu1Mi+Y7Lc/GWXULwj0b16zG8Q==" saltValue="L7Hk2jQvg5mKxWD7lwtZIg=="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22470-7AC7-4C9F-B326-4BFF158B1280}">
  <sheetPr codeName="Sheet6">
    <tabColor rgb="FF00B050"/>
  </sheetPr>
  <dimension ref="A2:J42"/>
  <sheetViews>
    <sheetView showGridLines="0" topLeftCell="A9" workbookViewId="0">
      <selection activeCell="J27" sqref="J27"/>
    </sheetView>
  </sheetViews>
  <sheetFormatPr defaultColWidth="9" defaultRowHeight="15" x14ac:dyDescent="0.25"/>
  <cols>
    <col min="1" max="1" width="4.42578125" style="10" customWidth="1"/>
    <col min="2" max="2" width="45.85546875" style="10" customWidth="1"/>
    <col min="3" max="3" width="16.5703125" style="10" customWidth="1"/>
    <col min="4" max="4" width="13.5703125" style="10" customWidth="1"/>
    <col min="5" max="5" width="33" style="10" customWidth="1"/>
    <col min="6" max="6" width="17.7109375" style="10" customWidth="1"/>
    <col min="7" max="7" width="15" style="10" customWidth="1"/>
    <col min="8" max="8" width="18.7109375" style="10" customWidth="1"/>
    <col min="9" max="9" width="16.42578125" style="10" customWidth="1"/>
    <col min="10" max="16384" width="9" style="10"/>
  </cols>
  <sheetData>
    <row r="2" spans="1:10" ht="12" customHeight="1" x14ac:dyDescent="0.5">
      <c r="A2" s="5"/>
    </row>
    <row r="3" spans="1:10" ht="31.5" x14ac:dyDescent="0.5">
      <c r="A3" s="5"/>
      <c r="B3" s="5"/>
      <c r="D3" s="5"/>
      <c r="E3" s="5" t="s">
        <v>166</v>
      </c>
      <c r="G3" s="5"/>
    </row>
    <row r="6" spans="1:10" ht="51.95" customHeight="1" x14ac:dyDescent="0.25"/>
    <row r="7" spans="1:10" ht="21.75" thickBot="1" x14ac:dyDescent="0.4">
      <c r="B7" s="6" t="s">
        <v>6</v>
      </c>
      <c r="C7" s="11"/>
      <c r="D7" s="11"/>
      <c r="E7" s="11"/>
      <c r="F7" s="11"/>
      <c r="G7" s="11"/>
      <c r="H7" s="11"/>
      <c r="I7" s="11"/>
      <c r="J7" s="11"/>
    </row>
    <row r="9" spans="1:10" ht="41.25" customHeight="1" x14ac:dyDescent="0.25">
      <c r="B9" s="23" t="s">
        <v>131</v>
      </c>
      <c r="C9" s="23" t="s">
        <v>132</v>
      </c>
      <c r="D9" s="23" t="s">
        <v>133</v>
      </c>
      <c r="E9" s="23" t="s">
        <v>167</v>
      </c>
      <c r="F9" s="23">
        <v>2023</v>
      </c>
      <c r="G9" s="7" t="s">
        <v>168</v>
      </c>
      <c r="H9" s="23">
        <v>2022</v>
      </c>
      <c r="I9" s="7" t="s">
        <v>168</v>
      </c>
      <c r="J9" s="23" t="s">
        <v>135</v>
      </c>
    </row>
    <row r="10" spans="1:10" x14ac:dyDescent="0.25">
      <c r="B10" s="10" t="s">
        <v>194</v>
      </c>
      <c r="C10" s="10" t="s">
        <v>137</v>
      </c>
      <c r="D10" s="10" t="s">
        <v>138</v>
      </c>
      <c r="E10" s="10" t="s">
        <v>139</v>
      </c>
      <c r="F10" s="24">
        <f>SUMIFS('[6]Electricity 2023'!S11:S67, '[6]Electricity 2023'!B11:B67, "Yes", '[6]Electricity 2023'!C11:C67, "office", '[6]Electricity 2023'!D11:D67, "Electric Power - Shared Services")+F12</f>
        <v>2382322.0520000001</v>
      </c>
      <c r="G10" s="25" t="s">
        <v>169</v>
      </c>
      <c r="H10" s="24">
        <f>'4'!H10</f>
        <v>2489806</v>
      </c>
      <c r="I10" s="25" t="s">
        <v>169</v>
      </c>
      <c r="J10" s="15">
        <f>(F10-H10)/H10</f>
        <v>-4.3169607591916744E-2</v>
      </c>
    </row>
    <row r="11" spans="1:10" x14ac:dyDescent="0.25">
      <c r="E11" s="10" t="s">
        <v>172</v>
      </c>
      <c r="F11" s="26">
        <v>1</v>
      </c>
      <c r="G11" s="25"/>
      <c r="H11" s="26">
        <v>1</v>
      </c>
      <c r="I11" s="25"/>
      <c r="J11" s="15">
        <f>(F11-H11)/H11</f>
        <v>0</v>
      </c>
    </row>
    <row r="12" spans="1:10" x14ac:dyDescent="0.25">
      <c r="C12" s="10" t="s">
        <v>137</v>
      </c>
      <c r="D12" s="10" t="s">
        <v>138</v>
      </c>
      <c r="E12" s="10" t="s">
        <v>170</v>
      </c>
      <c r="F12" s="27">
        <f>SUM('[6]Electricity 2023'!S14,'[6]Electricity 2023'!S28)</f>
        <v>49153.549999999996</v>
      </c>
      <c r="G12" s="25" t="s">
        <v>171</v>
      </c>
      <c r="H12" s="24">
        <v>12326</v>
      </c>
      <c r="I12" s="25" t="s">
        <v>171</v>
      </c>
      <c r="J12" s="15">
        <f>(F12-H12)/H12</f>
        <v>2.9877940937854937</v>
      </c>
    </row>
    <row r="13" spans="1:10" x14ac:dyDescent="0.25">
      <c r="B13" s="10" t="s">
        <v>195</v>
      </c>
      <c r="C13" s="10" t="s">
        <v>137</v>
      </c>
      <c r="D13" s="10" t="s">
        <v>138</v>
      </c>
      <c r="E13" s="10" t="s">
        <v>139</v>
      </c>
      <c r="F13" s="24">
        <f>SUMIFS('[6]Electricity 2023'!S11:S67, '[6]Electricity 2023'!B11:B67, "Yes", '[6]Electricity 2023'!C11:C67, "office", '[6]Electricity 2023'!D11:D67, "Electric Power - Tenant Space - Tenant Controlled")</f>
        <v>3872034.9310000003</v>
      </c>
      <c r="G13" s="25"/>
      <c r="H13" s="24">
        <v>4284231</v>
      </c>
      <c r="I13" s="25" t="s">
        <v>169</v>
      </c>
      <c r="J13" s="15">
        <f t="shared" ref="J13:J20" si="0">(F13-H13)/H13</f>
        <v>-9.6212381872032501E-2</v>
      </c>
    </row>
    <row r="14" spans="1:10" x14ac:dyDescent="0.25">
      <c r="E14" s="10" t="s">
        <v>172</v>
      </c>
      <c r="F14" s="26">
        <f>(SUMIFS([6]!TblElec[Total],[6]!TblElec[Managed],"Yes",[6]!TblElec[Office/resi],"office",[6]!TblElec[Source],"Renewable Electricity - Purchased"))/(F10+F13)</f>
        <v>0.74987787701404363</v>
      </c>
      <c r="G14" s="25"/>
      <c r="H14" s="26">
        <f>5413000/(H10+H13)</f>
        <v>0.79908037112876706</v>
      </c>
      <c r="I14" s="25"/>
      <c r="J14" s="15">
        <f t="shared" si="0"/>
        <v>-6.1573899062519644E-2</v>
      </c>
    </row>
    <row r="15" spans="1:10" x14ac:dyDescent="0.25">
      <c r="B15" s="10" t="s">
        <v>140</v>
      </c>
      <c r="C15" s="10" t="s">
        <v>141</v>
      </c>
      <c r="D15" s="10" t="s">
        <v>138</v>
      </c>
      <c r="E15" s="10" t="s">
        <v>139</v>
      </c>
      <c r="F15" s="28">
        <f>F10+F13</f>
        <v>6254356.9830000009</v>
      </c>
      <c r="G15" s="25" t="s">
        <v>169</v>
      </c>
      <c r="H15" s="28">
        <f>H10+H13</f>
        <v>6774037</v>
      </c>
      <c r="I15" s="25" t="s">
        <v>169</v>
      </c>
      <c r="J15" s="15">
        <f t="shared" si="0"/>
        <v>-7.6716442056634623E-2</v>
      </c>
    </row>
    <row r="16" spans="1:10" x14ac:dyDescent="0.25">
      <c r="B16" s="10" t="s">
        <v>142</v>
      </c>
      <c r="C16" s="10" t="s">
        <v>143</v>
      </c>
      <c r="D16" s="10" t="s">
        <v>138</v>
      </c>
      <c r="E16" s="10" t="s">
        <v>139</v>
      </c>
      <c r="F16" s="28">
        <f>SUMIFS([6]!Tbl_Gas[Total],[6]!Tbl_Gas[Managed],"yes",[6]!Tbl_Gas[Source],"Natural Gas - whole building",[6]!Tbl_Gas[Office/resi],"office")</f>
        <v>3167981.7749999999</v>
      </c>
      <c r="G16" s="25" t="s">
        <v>169</v>
      </c>
      <c r="H16" s="28">
        <v>3539037</v>
      </c>
      <c r="I16" s="25" t="s">
        <v>169</v>
      </c>
      <c r="J16" s="15">
        <f t="shared" si="0"/>
        <v>-0.10484638193949374</v>
      </c>
    </row>
    <row r="17" spans="2:10" x14ac:dyDescent="0.25">
      <c r="B17" s="10" t="s">
        <v>144</v>
      </c>
      <c r="C17" s="10" t="s">
        <v>145</v>
      </c>
      <c r="D17" s="10" t="s">
        <v>138</v>
      </c>
      <c r="E17" s="10" t="s">
        <v>139</v>
      </c>
      <c r="F17" s="28">
        <f>SUMIFS('[6]Gas 2023'!S11:S32, '[6]Gas 2023'!B11:B32, "Yes", '[6]Gas 2023'!C11:C32, "Office", '[6]Gas 2023'!D11:D32, "Natural Gas - Whole Building")</f>
        <v>3167981.7749999999</v>
      </c>
      <c r="G17" s="25" t="s">
        <v>169</v>
      </c>
      <c r="H17" s="28">
        <v>3539037</v>
      </c>
      <c r="I17" s="25" t="s">
        <v>169</v>
      </c>
      <c r="J17" s="15">
        <f t="shared" si="0"/>
        <v>-0.10484638193949374</v>
      </c>
    </row>
    <row r="18" spans="2:10" ht="16.5" x14ac:dyDescent="0.25">
      <c r="B18" s="10" t="s">
        <v>173</v>
      </c>
      <c r="C18" s="10" t="s">
        <v>174</v>
      </c>
      <c r="D18" s="10" t="s">
        <v>175</v>
      </c>
      <c r="E18" s="10" t="s">
        <v>176</v>
      </c>
      <c r="F18" s="28">
        <f>(F10+F13+F16)/'[6]Asset list'!F30</f>
        <v>133.84764415591798</v>
      </c>
      <c r="G18" s="25" t="s">
        <v>169</v>
      </c>
      <c r="H18" s="28">
        <f>(H10+H13+H16)/'[6]Asset list'!F30</f>
        <v>146.50085232115461</v>
      </c>
      <c r="I18" s="25" t="s">
        <v>169</v>
      </c>
      <c r="J18" s="15">
        <f t="shared" si="0"/>
        <v>-8.6369519117190291E-2</v>
      </c>
    </row>
    <row r="19" spans="2:10" ht="16.5" x14ac:dyDescent="0.25">
      <c r="B19" s="10" t="s">
        <v>177</v>
      </c>
      <c r="C19" s="10" t="s">
        <v>178</v>
      </c>
      <c r="D19" s="10" t="s">
        <v>175</v>
      </c>
      <c r="E19" s="10" t="s">
        <v>176</v>
      </c>
      <c r="F19" s="28">
        <f>(F10+F13+F16)/'[6]Asset list'!F30</f>
        <v>133.84764415591798</v>
      </c>
      <c r="G19" s="25" t="s">
        <v>169</v>
      </c>
      <c r="H19" s="28">
        <f>(H10+H13+H16)/'[6]Asset list'!F30</f>
        <v>146.50085232115461</v>
      </c>
      <c r="I19" s="25" t="s">
        <v>169</v>
      </c>
      <c r="J19" s="15">
        <f t="shared" si="0"/>
        <v>-8.6369519117190291E-2</v>
      </c>
    </row>
    <row r="20" spans="2:10" ht="18" x14ac:dyDescent="0.35">
      <c r="B20" s="10" t="s">
        <v>146</v>
      </c>
      <c r="C20" s="10" t="s">
        <v>147</v>
      </c>
      <c r="D20" s="10" t="s">
        <v>148</v>
      </c>
      <c r="E20" s="10" t="s">
        <v>149</v>
      </c>
      <c r="F20" s="28">
        <f>(F16*'[6]IEA CO2e Conversion Factors'!M3)/1000000</f>
        <v>538.06903255665009</v>
      </c>
      <c r="G20" s="25" t="s">
        <v>169</v>
      </c>
      <c r="H20" s="28">
        <f>(H16*'[6]IEA CO2e Conversion Factors'!M3)/1000000</f>
        <v>601.09127830200009</v>
      </c>
      <c r="I20" s="25" t="s">
        <v>169</v>
      </c>
      <c r="J20" s="15">
        <f t="shared" si="0"/>
        <v>-0.10484638193949371</v>
      </c>
    </row>
    <row r="21" spans="2:10" ht="18" x14ac:dyDescent="0.35">
      <c r="B21" s="10" t="s">
        <v>196</v>
      </c>
      <c r="C21" s="29" t="s">
        <v>151</v>
      </c>
      <c r="D21" s="10" t="s">
        <v>152</v>
      </c>
      <c r="E21" s="29" t="s">
        <v>197</v>
      </c>
      <c r="F21" s="30">
        <v>0</v>
      </c>
      <c r="G21" s="25" t="s">
        <v>169</v>
      </c>
      <c r="H21" s="30">
        <v>0</v>
      </c>
      <c r="I21" s="25" t="s">
        <v>169</v>
      </c>
      <c r="J21" s="14">
        <v>0</v>
      </c>
    </row>
    <row r="22" spans="2:10" ht="18" x14ac:dyDescent="0.35">
      <c r="E22" s="10" t="s">
        <v>198</v>
      </c>
      <c r="F22" s="28">
        <f>((F10*'[6]IEA CO2e Conversion Factors'!C3)/1000000)-((F12*'[6]IEA CO2e Conversion Factors'!C3)/1000000)</f>
        <v>739.47069195427684</v>
      </c>
      <c r="G22" s="25" t="s">
        <v>169</v>
      </c>
      <c r="H22" s="28">
        <f>((H10*'[6]IEA CO2e Conversion Factors'!C3)/1000000)-((H12*'[6]IEA CO2e Conversion Factors'!C3)/1000000)</f>
        <v>785.208547232</v>
      </c>
      <c r="I22" s="25" t="s">
        <v>169</v>
      </c>
      <c r="J22" s="15">
        <f t="shared" ref="J22:J36" si="1">(F22-H22)/H22</f>
        <v>-5.8249308975248985E-2</v>
      </c>
    </row>
    <row r="23" spans="2:10" ht="18" x14ac:dyDescent="0.35">
      <c r="B23" s="10" t="s">
        <v>199</v>
      </c>
      <c r="C23" s="29" t="s">
        <v>151</v>
      </c>
      <c r="D23" s="10" t="s">
        <v>200</v>
      </c>
      <c r="E23" s="29" t="s">
        <v>197</v>
      </c>
      <c r="F23" s="28">
        <f>F24*(1-F14)</f>
        <v>306.94900785155932</v>
      </c>
      <c r="G23" s="25" t="s">
        <v>169</v>
      </c>
      <c r="H23" s="28">
        <f>H24*(1-H14)</f>
        <v>272.81617007449091</v>
      </c>
      <c r="I23" s="25" t="s">
        <v>169</v>
      </c>
      <c r="J23" s="15">
        <f t="shared" si="1"/>
        <v>0.12511295707929859</v>
      </c>
    </row>
    <row r="24" spans="2:10" ht="18" x14ac:dyDescent="0.35">
      <c r="C24" s="29"/>
      <c r="E24" s="10" t="s">
        <v>198</v>
      </c>
      <c r="F24" s="28">
        <f>(F13*'[6]IEA CO2e Conversion Factors'!C3)/1000000</f>
        <v>1227.1965557752505</v>
      </c>
      <c r="G24" s="25" t="s">
        <v>169</v>
      </c>
      <c r="H24" s="28">
        <f>((H13*'[6]IEA CO2e Conversion Factors'!C3)/1000000)</f>
        <v>1357.8373183704</v>
      </c>
      <c r="I24" s="25" t="s">
        <v>169</v>
      </c>
      <c r="J24" s="15">
        <f t="shared" si="1"/>
        <v>-9.6212381872032474E-2</v>
      </c>
    </row>
    <row r="25" spans="2:10" ht="18" x14ac:dyDescent="0.35">
      <c r="B25" s="10" t="s">
        <v>182</v>
      </c>
      <c r="C25" s="10" t="s">
        <v>183</v>
      </c>
      <c r="D25" s="10" t="s">
        <v>184</v>
      </c>
      <c r="E25" s="10" t="s">
        <v>201</v>
      </c>
      <c r="F25" s="31">
        <f>(F22+F24+F20)/'[6]Asset list'!F30</f>
        <v>3.5580661973495332E-2</v>
      </c>
      <c r="G25" s="25" t="s">
        <v>169</v>
      </c>
      <c r="H25" s="31">
        <f>(H22+H24+H20)/'[6]Asset list'!F30</f>
        <v>3.8981435648394805E-2</v>
      </c>
      <c r="I25" s="25" t="s">
        <v>169</v>
      </c>
      <c r="J25" s="15">
        <f t="shared" si="1"/>
        <v>-8.7240852429700366E-2</v>
      </c>
    </row>
    <row r="26" spans="2:10" ht="16.5" x14ac:dyDescent="0.25">
      <c r="B26" s="10" t="s">
        <v>154</v>
      </c>
      <c r="C26" s="10" t="s">
        <v>155</v>
      </c>
      <c r="D26" s="10" t="s">
        <v>156</v>
      </c>
      <c r="E26" s="10" t="s">
        <v>157</v>
      </c>
      <c r="F26" s="28">
        <f>SUMIFS('[6]Water 2023'!S11:S33, '[6]Water 2023'!B11:B33, "Yes", '[6]Water 2023'!C11:C33, "Office", '[6]Water 2023'!D11:D33, "Water - Landlord")</f>
        <v>8486.8430000000008</v>
      </c>
      <c r="G26" s="25" t="s">
        <v>169</v>
      </c>
      <c r="H26" s="28">
        <v>6905</v>
      </c>
      <c r="I26" s="25" t="s">
        <v>169</v>
      </c>
      <c r="J26" s="15">
        <f t="shared" si="1"/>
        <v>0.2290866039102101</v>
      </c>
    </row>
    <row r="27" spans="2:10" ht="16.5" x14ac:dyDescent="0.25">
      <c r="B27" s="10" t="s">
        <v>158</v>
      </c>
      <c r="C27" s="10" t="s">
        <v>159</v>
      </c>
      <c r="D27" s="10" t="s">
        <v>156</v>
      </c>
      <c r="E27" s="10" t="s">
        <v>157</v>
      </c>
      <c r="F27" s="28">
        <f>SUMIFS('[6]Water 2023'!S11:S33, '[6]Water 2023'!B11:B33, "Yes", '[6]Water 2023'!C11:C33, "Office", '[6]Water 2023'!D11:D33, "Water - Landlord")</f>
        <v>8486.8430000000008</v>
      </c>
      <c r="G27" s="25" t="s">
        <v>169</v>
      </c>
      <c r="H27" s="28">
        <v>6905</v>
      </c>
      <c r="I27" s="25" t="s">
        <v>169</v>
      </c>
      <c r="J27" s="15">
        <f t="shared" si="1"/>
        <v>0.2290866039102101</v>
      </c>
    </row>
    <row r="28" spans="2:10" ht="16.5" x14ac:dyDescent="0.25">
      <c r="B28" s="10" t="s">
        <v>186</v>
      </c>
      <c r="C28" s="10" t="s">
        <v>187</v>
      </c>
      <c r="D28" s="32">
        <v>303.5</v>
      </c>
      <c r="E28" s="10" t="s">
        <v>188</v>
      </c>
      <c r="F28" s="33">
        <f>F27/'[6]Asset list'!F30</f>
        <v>0.12055859707937952</v>
      </c>
      <c r="G28" s="25" t="s">
        <v>169</v>
      </c>
      <c r="H28" s="33">
        <v>0.1</v>
      </c>
      <c r="I28" s="25" t="s">
        <v>169</v>
      </c>
      <c r="J28" s="15">
        <f t="shared" si="1"/>
        <v>0.20558597079379515</v>
      </c>
    </row>
    <row r="29" spans="2:10" x14ac:dyDescent="0.25">
      <c r="B29" s="10" t="s">
        <v>189</v>
      </c>
      <c r="C29" s="10" t="s">
        <v>161</v>
      </c>
      <c r="D29" s="10" t="s">
        <v>162</v>
      </c>
      <c r="E29" s="10" t="s">
        <v>163</v>
      </c>
      <c r="F29" s="28">
        <f>SUMIFS([6]!TblWaste[Total],[6]!TblWaste[Managed],"Yes",[6]!TblWaste[Office/resi],"Office")</f>
        <v>125.41900408750436</v>
      </c>
      <c r="G29" s="25" t="s">
        <v>169</v>
      </c>
      <c r="H29" s="28">
        <v>125</v>
      </c>
      <c r="I29" s="25" t="s">
        <v>169</v>
      </c>
      <c r="J29" s="15">
        <f t="shared" si="1"/>
        <v>3.3520327000348973E-3</v>
      </c>
    </row>
    <row r="30" spans="2:10" x14ac:dyDescent="0.25">
      <c r="E30" s="10" t="s">
        <v>190</v>
      </c>
      <c r="F30" s="34">
        <f>SUMIFS([6]!TblWaste[Total],[6]!TblWaste[Managed],"Yes",[6]!TblWaste[Office/resi],"Office",[6]!TblWaste[Source], "Waste - Recycled")/F29</f>
        <v>0.5025668146158494</v>
      </c>
      <c r="G30" s="25"/>
      <c r="H30" s="34">
        <v>0.51</v>
      </c>
      <c r="I30" s="25"/>
      <c r="J30" s="15">
        <f t="shared" si="1"/>
        <v>-1.4574873302256095E-2</v>
      </c>
    </row>
    <row r="31" spans="2:10" x14ac:dyDescent="0.25">
      <c r="E31" s="10" t="s">
        <v>191</v>
      </c>
      <c r="F31" s="34">
        <f>SUMIFS([6]!TblWaste[Total],[6]!TblWaste[Managed],"Yes",[6]!TblWaste[Office/resi],"Office",[6]!TblWaste[Source], "Compost")/F29</f>
        <v>0.14544008002157335</v>
      </c>
      <c r="G31" s="25"/>
      <c r="H31" s="34">
        <v>0.2</v>
      </c>
      <c r="I31" s="25"/>
      <c r="J31" s="15">
        <f t="shared" si="1"/>
        <v>-0.27279959989213326</v>
      </c>
    </row>
    <row r="32" spans="2:10" x14ac:dyDescent="0.25">
      <c r="E32" s="10" t="s">
        <v>192</v>
      </c>
      <c r="F32" s="34">
        <f>SUMIFS([6]!TblWaste[Total],[6]!TblWaste[Managed],"Yes",[6]!TblWaste[Office/resi],"Office",[6]!TblWaste[Source], "Non-Haz Waste - Mixed Waste to waste to energy")/F29</f>
        <v>0.35199310536257744</v>
      </c>
      <c r="G32" s="25"/>
      <c r="H32" s="34">
        <v>0.28000000000000003</v>
      </c>
      <c r="I32" s="25"/>
      <c r="J32" s="15">
        <f t="shared" si="1"/>
        <v>0.25711823343777646</v>
      </c>
    </row>
    <row r="33" spans="2:10" x14ac:dyDescent="0.25">
      <c r="B33" s="10" t="s">
        <v>193</v>
      </c>
      <c r="C33" s="10" t="s">
        <v>165</v>
      </c>
      <c r="D33" s="10" t="s">
        <v>162</v>
      </c>
      <c r="E33" s="10" t="s">
        <v>163</v>
      </c>
      <c r="F33" s="35">
        <f>SUMIFS([6]!TblWaste[Total],[6]!TblWaste[Managed],"Yes",[6]!TblWaste[Office/resi],"Office")</f>
        <v>125.41900408750436</v>
      </c>
      <c r="G33" s="25" t="s">
        <v>169</v>
      </c>
      <c r="H33" s="36">
        <v>125</v>
      </c>
      <c r="I33" s="25" t="s">
        <v>169</v>
      </c>
      <c r="J33" s="15">
        <f t="shared" si="1"/>
        <v>3.3520327000348973E-3</v>
      </c>
    </row>
    <row r="34" spans="2:10" x14ac:dyDescent="0.25">
      <c r="E34" s="10" t="s">
        <v>190</v>
      </c>
      <c r="F34" s="34">
        <f>SUMIFS([6]!TblWaste[Total],[6]!TblWaste[Managed],"Yes",[6]!TblWaste[Office/resi],"Office",[6]!TblWaste[Source], "Waste - Recycled")/F33</f>
        <v>0.5025668146158494</v>
      </c>
      <c r="G34" s="25"/>
      <c r="H34" s="34">
        <v>0.51</v>
      </c>
      <c r="I34" s="25"/>
      <c r="J34" s="15">
        <f t="shared" si="1"/>
        <v>-1.4574873302256095E-2</v>
      </c>
    </row>
    <row r="35" spans="2:10" x14ac:dyDescent="0.25">
      <c r="E35" s="10" t="s">
        <v>191</v>
      </c>
      <c r="F35" s="34">
        <f>SUMIFS([6]!TblWaste[Total],[6]!TblWaste[Managed],"Yes",[6]!TblWaste[Office/resi],"Office",[6]!TblWaste[Source], "Compost")/F33</f>
        <v>0.14544008002157335</v>
      </c>
      <c r="G35" s="25"/>
      <c r="H35" s="34">
        <v>0.2</v>
      </c>
      <c r="I35" s="25"/>
      <c r="J35" s="15">
        <f t="shared" si="1"/>
        <v>-0.27279959989213326</v>
      </c>
    </row>
    <row r="36" spans="2:10" ht="15.75" thickBot="1" x14ac:dyDescent="0.3">
      <c r="B36" s="37"/>
      <c r="C36" s="37"/>
      <c r="D36" s="37"/>
      <c r="E36" s="37" t="s">
        <v>192</v>
      </c>
      <c r="F36" s="38">
        <f>SUMIFS([6]!TblWaste[Total],[6]!TblWaste[Managed],"Yes",[6]!TblWaste[Office/resi],"Office",[6]!TblWaste[Source], "Non-Haz Waste - Mixed Waste to waste to energy")/F33</f>
        <v>0.35199310536257744</v>
      </c>
      <c r="G36" s="39"/>
      <c r="H36" s="40">
        <v>0.28000000000000003</v>
      </c>
      <c r="I36" s="39"/>
      <c r="J36" s="41">
        <f t="shared" si="1"/>
        <v>0.25711823343777646</v>
      </c>
    </row>
    <row r="38" spans="2:10" x14ac:dyDescent="0.25">
      <c r="B38" s="8"/>
    </row>
    <row r="39" spans="2:10" x14ac:dyDescent="0.25">
      <c r="B39" s="9"/>
    </row>
    <row r="40" spans="2:10" x14ac:dyDescent="0.25">
      <c r="B40" s="9"/>
    </row>
    <row r="41" spans="2:10" x14ac:dyDescent="0.25">
      <c r="B41" s="9"/>
    </row>
    <row r="42" spans="2:10" x14ac:dyDescent="0.25">
      <c r="B42" s="9"/>
    </row>
  </sheetData>
  <sheetProtection algorithmName="SHA-512" hashValue="KdU7MryB8StWl/jsAG5TDF553f8M8XqWiwZO4CLi70wgaRVYfuezXQrDUjrBDlMos2RT2hQARN21qkh1eXeCcg==" saltValue="Bsfyf2HK7OP9NAtHu8+S5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CDBA-7674-4C53-81ED-391424BDA86D}">
  <sheetPr codeName="Sheet7">
    <tabColor rgb="FF00B050"/>
  </sheetPr>
  <dimension ref="A2:J26"/>
  <sheetViews>
    <sheetView showGridLines="0" workbookViewId="0">
      <selection sqref="A1:XFD1048576"/>
    </sheetView>
  </sheetViews>
  <sheetFormatPr defaultColWidth="9" defaultRowHeight="15" x14ac:dyDescent="0.25"/>
  <cols>
    <col min="1" max="1" width="4" style="10" customWidth="1"/>
    <col min="2" max="2" width="55.5703125" style="10" customWidth="1"/>
    <col min="3" max="3" width="15.28515625" style="10" customWidth="1"/>
    <col min="4" max="4" width="17" style="10" customWidth="1"/>
    <col min="5" max="5" width="22.5703125" style="10" customWidth="1"/>
    <col min="6" max="6" width="15.140625" style="10" customWidth="1"/>
    <col min="7" max="7" width="16.85546875" style="10" customWidth="1"/>
    <col min="8" max="8" width="16.7109375" style="10" customWidth="1"/>
    <col min="9" max="9" width="14.7109375" style="10" customWidth="1"/>
    <col min="10" max="16384" width="9" style="10"/>
  </cols>
  <sheetData>
    <row r="2" spans="1:10" ht="12" customHeight="1" x14ac:dyDescent="0.5">
      <c r="A2" s="5"/>
    </row>
    <row r="3" spans="1:10" ht="31.5" x14ac:dyDescent="0.5">
      <c r="A3" s="5"/>
      <c r="B3" s="5"/>
      <c r="D3" s="5"/>
      <c r="E3" s="5" t="s">
        <v>0</v>
      </c>
      <c r="G3" s="5"/>
    </row>
    <row r="5" spans="1:10" ht="49.5" customHeight="1" x14ac:dyDescent="0.25"/>
    <row r="7" spans="1:10" ht="21.75" thickBot="1" x14ac:dyDescent="0.4">
      <c r="B7" s="6" t="s">
        <v>202</v>
      </c>
      <c r="C7" s="11"/>
      <c r="D7" s="11"/>
      <c r="E7" s="11"/>
      <c r="F7" s="11"/>
      <c r="G7" s="11"/>
      <c r="H7" s="11"/>
      <c r="I7" s="11"/>
      <c r="J7" s="11"/>
    </row>
    <row r="9" spans="1:10" ht="35.25" customHeight="1" x14ac:dyDescent="0.25">
      <c r="B9" s="23" t="s">
        <v>131</v>
      </c>
      <c r="C9" s="23" t="s">
        <v>132</v>
      </c>
      <c r="D9" s="23" t="s">
        <v>133</v>
      </c>
      <c r="E9" s="23" t="s">
        <v>167</v>
      </c>
      <c r="F9" s="23">
        <v>2023</v>
      </c>
      <c r="G9" s="7" t="s">
        <v>168</v>
      </c>
      <c r="H9" s="23">
        <v>2022</v>
      </c>
      <c r="I9" s="7" t="s">
        <v>168</v>
      </c>
      <c r="J9" s="23" t="s">
        <v>135</v>
      </c>
    </row>
    <row r="10" spans="1:10" x14ac:dyDescent="0.25">
      <c r="B10" s="10" t="s">
        <v>203</v>
      </c>
      <c r="C10" s="10" t="s">
        <v>137</v>
      </c>
      <c r="D10" s="10" t="s">
        <v>138</v>
      </c>
      <c r="E10" s="10" t="s">
        <v>139</v>
      </c>
      <c r="F10" s="28">
        <f>SUMIFS([6]!TblElec[Total],[6]!TblElec[Managed],"Yes",[6]!TblElec[Office/resi],"residential",[6]!TblElec[Source],"Electric Power - Shared Services")</f>
        <v>232523.44</v>
      </c>
      <c r="G10" s="25" t="s">
        <v>204</v>
      </c>
      <c r="H10" s="28">
        <v>210008</v>
      </c>
      <c r="I10" s="25" t="s">
        <v>204</v>
      </c>
      <c r="J10" s="15">
        <f t="shared" ref="J10:J22" si="0">(F10-H10)/H10</f>
        <v>0.10721229667441241</v>
      </c>
    </row>
    <row r="11" spans="1:10" x14ac:dyDescent="0.25">
      <c r="B11" s="10" t="s">
        <v>140</v>
      </c>
      <c r="C11" s="10" t="s">
        <v>141</v>
      </c>
      <c r="D11" s="10" t="s">
        <v>138</v>
      </c>
      <c r="E11" s="10" t="s">
        <v>139</v>
      </c>
      <c r="F11" s="28">
        <f>F10</f>
        <v>232523.44</v>
      </c>
      <c r="G11" s="25" t="s">
        <v>204</v>
      </c>
      <c r="H11" s="28">
        <v>210008</v>
      </c>
      <c r="I11" s="25" t="s">
        <v>204</v>
      </c>
      <c r="J11" s="15">
        <f t="shared" si="0"/>
        <v>0.10721229667441241</v>
      </c>
    </row>
    <row r="12" spans="1:10" x14ac:dyDescent="0.25">
      <c r="B12" s="10" t="s">
        <v>173</v>
      </c>
      <c r="C12" s="10" t="s">
        <v>174</v>
      </c>
      <c r="D12" s="10" t="s">
        <v>175</v>
      </c>
      <c r="E12" s="10" t="s">
        <v>205</v>
      </c>
      <c r="F12" s="35">
        <f>F11/293</f>
        <v>793.59535836177474</v>
      </c>
      <c r="G12" s="25" t="s">
        <v>204</v>
      </c>
      <c r="H12" s="36">
        <v>717</v>
      </c>
      <c r="I12" s="25" t="s">
        <v>204</v>
      </c>
      <c r="J12" s="15">
        <f t="shared" si="0"/>
        <v>0.10682755698992294</v>
      </c>
    </row>
    <row r="13" spans="1:10" ht="18" x14ac:dyDescent="0.35">
      <c r="B13" s="10" t="s">
        <v>206</v>
      </c>
      <c r="C13" s="10" t="s">
        <v>151</v>
      </c>
      <c r="D13" s="10" t="s">
        <v>152</v>
      </c>
      <c r="E13" s="10" t="s">
        <v>149</v>
      </c>
      <c r="F13" s="35">
        <f>(F10*'[6]IEA CO2e Conversion Factors'!C3)/1000000</f>
        <v>73.695607036096007</v>
      </c>
      <c r="G13" s="25" t="s">
        <v>204</v>
      </c>
      <c r="H13" s="35">
        <f>(H11*'[6]IEA CO2e Conversion Factors'!C3)/1000000</f>
        <v>66.559599507200005</v>
      </c>
      <c r="I13" s="25" t="s">
        <v>204</v>
      </c>
      <c r="J13" s="15">
        <f t="shared" si="0"/>
        <v>0.10721229667441243</v>
      </c>
    </row>
    <row r="14" spans="1:10" ht="18" x14ac:dyDescent="0.35">
      <c r="B14" s="10" t="s">
        <v>182</v>
      </c>
      <c r="C14" s="10" t="s">
        <v>183</v>
      </c>
      <c r="D14" s="10" t="s">
        <v>152</v>
      </c>
      <c r="E14" s="10" t="s">
        <v>207</v>
      </c>
      <c r="F14" s="70">
        <f>F13/293</f>
        <v>0.25152084312660755</v>
      </c>
      <c r="G14" s="25" t="s">
        <v>204</v>
      </c>
      <c r="H14" s="70">
        <f>H13/293</f>
        <v>0.22716586862525598</v>
      </c>
      <c r="I14" s="25" t="s">
        <v>204</v>
      </c>
      <c r="J14" s="15">
        <f t="shared" si="0"/>
        <v>0.10721229667441257</v>
      </c>
    </row>
    <row r="15" spans="1:10" x14ac:dyDescent="0.25">
      <c r="B15" s="10" t="s">
        <v>189</v>
      </c>
      <c r="C15" s="10" t="s">
        <v>161</v>
      </c>
      <c r="D15" s="10" t="s">
        <v>162</v>
      </c>
      <c r="E15" s="10" t="s">
        <v>163</v>
      </c>
      <c r="F15" s="28">
        <f>SUMIFS([6]!TblWaste[Total],[6]!TblWaste[Managed],"Yes",[6]!TblWaste[Office/resi],"residential")</f>
        <v>146.33230000000003</v>
      </c>
      <c r="G15" s="25" t="s">
        <v>204</v>
      </c>
      <c r="H15" s="36">
        <v>150</v>
      </c>
      <c r="I15" s="25" t="s">
        <v>204</v>
      </c>
      <c r="J15" s="15">
        <f t="shared" si="0"/>
        <v>-2.445133333333312E-2</v>
      </c>
    </row>
    <row r="16" spans="1:10" x14ac:dyDescent="0.25">
      <c r="E16" s="10" t="s">
        <v>190</v>
      </c>
      <c r="F16" s="34">
        <f>SUMIFS([6]!TblWaste[Total],[6]!TblWaste[Managed],"Yes",[6]!TblWaste[Office/resi],"Residential",[6]!TblWaste[Source], "Waste - Recycled")/F15</f>
        <v>0.3077160681544675</v>
      </c>
      <c r="G16" s="25"/>
      <c r="H16" s="34">
        <v>0.35</v>
      </c>
      <c r="I16" s="25"/>
      <c r="J16" s="15">
        <f t="shared" si="0"/>
        <v>-0.1208112338443785</v>
      </c>
    </row>
    <row r="17" spans="2:10" x14ac:dyDescent="0.25">
      <c r="E17" s="10" t="s">
        <v>191</v>
      </c>
      <c r="F17" s="34">
        <f>SUMIFS([6]!TblWaste[Total],[6]!TblWaste[Managed],"Yes",[6]!TblWaste[Office/resi],"Residential",[6]!TblWaste[Source], "Compost")/F15</f>
        <v>7.640828443207684E-2</v>
      </c>
      <c r="G17" s="25"/>
      <c r="H17" s="34">
        <v>0.05</v>
      </c>
      <c r="I17" s="25"/>
      <c r="J17" s="15">
        <f t="shared" si="0"/>
        <v>0.52816568864153668</v>
      </c>
    </row>
    <row r="18" spans="2:10" x14ac:dyDescent="0.25">
      <c r="E18" s="10" t="s">
        <v>192</v>
      </c>
      <c r="F18" s="34">
        <f>SUMIFS([6]!TblWaste[Total],[6]!TblWaste[Managed],"Yes",[6]!TblWaste[Office/resi],"Residential",[6]!TblWaste[Source], "Non-Haz Waste - Mixed Waste to waste to energy")/F15</f>
        <v>0.61587564741345546</v>
      </c>
      <c r="G18" s="25"/>
      <c r="H18" s="34">
        <v>0.6</v>
      </c>
      <c r="I18" s="25"/>
      <c r="J18" s="15">
        <f t="shared" si="0"/>
        <v>2.6459412355759142E-2</v>
      </c>
    </row>
    <row r="19" spans="2:10" x14ac:dyDescent="0.25">
      <c r="B19" s="10" t="s">
        <v>193</v>
      </c>
      <c r="C19" s="10" t="s">
        <v>165</v>
      </c>
      <c r="D19" s="10" t="s">
        <v>162</v>
      </c>
      <c r="E19" s="10" t="s">
        <v>163</v>
      </c>
      <c r="F19" s="28">
        <f>SUMIFS([6]!TblWaste[Total],[6]!TblWaste[Managed],"Yes",[6]!TblWaste[Office/resi],"residential")</f>
        <v>146.33230000000003</v>
      </c>
      <c r="G19" s="25" t="s">
        <v>204</v>
      </c>
      <c r="H19" s="44">
        <v>150</v>
      </c>
      <c r="I19" s="25" t="s">
        <v>204</v>
      </c>
      <c r="J19" s="15">
        <f t="shared" si="0"/>
        <v>-2.445133333333312E-2</v>
      </c>
    </row>
    <row r="20" spans="2:10" x14ac:dyDescent="0.25">
      <c r="E20" s="10" t="s">
        <v>190</v>
      </c>
      <c r="F20" s="34">
        <f>SUMIFS([6]!TblWaste[Total],[6]!TblWaste[Managed],"Yes",[6]!TblWaste[Office/resi],"Residential",[6]!TblWaste[Source], "Waste - Recycled")/F19</f>
        <v>0.3077160681544675</v>
      </c>
      <c r="G20" s="25"/>
      <c r="H20" s="34">
        <v>0.35</v>
      </c>
      <c r="I20" s="25"/>
      <c r="J20" s="15">
        <f t="shared" si="0"/>
        <v>-0.1208112338443785</v>
      </c>
    </row>
    <row r="21" spans="2:10" x14ac:dyDescent="0.25">
      <c r="E21" s="10" t="s">
        <v>191</v>
      </c>
      <c r="F21" s="34">
        <f>SUMIFS([6]!TblWaste[Total],[6]!TblWaste[Managed],"Yes",[6]!TblWaste[Office/resi],"Residential",[6]!TblWaste[Source], "Compost")/F19</f>
        <v>7.640828443207684E-2</v>
      </c>
      <c r="G21" s="25"/>
      <c r="H21" s="34">
        <v>0.05</v>
      </c>
      <c r="I21" s="25"/>
      <c r="J21" s="15">
        <f t="shared" si="0"/>
        <v>0.52816568864153668</v>
      </c>
    </row>
    <row r="22" spans="2:10" ht="15.75" thickBot="1" x14ac:dyDescent="0.3">
      <c r="B22" s="37"/>
      <c r="C22" s="37"/>
      <c r="D22" s="37"/>
      <c r="E22" s="37" t="s">
        <v>192</v>
      </c>
      <c r="F22" s="45">
        <f>SUMIFS([6]!TblWaste[Total],[6]!TblWaste[Managed],"Yes",[6]!TblWaste[Office/resi],"Residential",[6]!TblWaste[Source], "Non-Haz Waste - Mixed Waste to waste to energy")/F19</f>
        <v>0.61587564741345546</v>
      </c>
      <c r="G22" s="39"/>
      <c r="H22" s="40">
        <v>0.6</v>
      </c>
      <c r="I22" s="39"/>
      <c r="J22" s="41">
        <f t="shared" si="0"/>
        <v>2.6459412355759142E-2</v>
      </c>
    </row>
    <row r="24" spans="2:10" x14ac:dyDescent="0.25">
      <c r="B24" s="8"/>
    </row>
    <row r="25" spans="2:10" x14ac:dyDescent="0.25">
      <c r="B25" s="9"/>
    </row>
    <row r="26" spans="2:10" x14ac:dyDescent="0.25">
      <c r="B26" s="9"/>
    </row>
  </sheetData>
  <sheetProtection algorithmName="SHA-512" hashValue="Q5wS3uCbaxTRe+Co3hsoVZHYhw47elgMiRf9c18OQTnEeKKAQXRaA2XxDScpa1gXKO3rlOy74eT8DHAlv6FzFg==" saltValue="Um6F6+/ptCgkGwffrGOs5g==" spinCount="100000" sheet="1" objects="1" scenarios="1"/>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AFBA-CA4A-4B01-9F0C-FE44AC603E62}">
  <sheetPr codeName="Sheet8">
    <tabColor rgb="FF00B050"/>
  </sheetPr>
  <dimension ref="A2:H36"/>
  <sheetViews>
    <sheetView showGridLines="0" zoomScale="85" zoomScaleNormal="85" workbookViewId="0">
      <selection activeCell="G18" sqref="G18"/>
    </sheetView>
  </sheetViews>
  <sheetFormatPr defaultColWidth="9" defaultRowHeight="15" x14ac:dyDescent="0.25"/>
  <cols>
    <col min="1" max="1" width="4.85546875" style="10" customWidth="1"/>
    <col min="2" max="2" width="48.42578125" style="10" customWidth="1"/>
    <col min="3" max="3" width="18" style="10" customWidth="1"/>
    <col min="4" max="4" width="15.5703125" style="10" customWidth="1"/>
    <col min="5" max="5" width="26.5703125" style="10" customWidth="1"/>
    <col min="6" max="8" width="14.140625" style="10" customWidth="1"/>
    <col min="9" max="16384" width="9" style="10"/>
  </cols>
  <sheetData>
    <row r="2" spans="1:8" ht="12" customHeight="1" x14ac:dyDescent="0.5">
      <c r="A2" s="5"/>
    </row>
    <row r="3" spans="1:8" ht="31.5" x14ac:dyDescent="0.5">
      <c r="A3" s="5"/>
      <c r="B3" s="5"/>
      <c r="D3" s="5" t="s">
        <v>0</v>
      </c>
      <c r="G3" s="5"/>
    </row>
    <row r="5" spans="1:8" ht="52.5" customHeight="1" x14ac:dyDescent="0.25"/>
    <row r="7" spans="1:8" ht="21.75" thickBot="1" x14ac:dyDescent="0.4">
      <c r="B7" s="6" t="s">
        <v>8</v>
      </c>
      <c r="C7" s="11"/>
      <c r="D7" s="11"/>
      <c r="E7" s="11"/>
      <c r="F7" s="11"/>
      <c r="G7" s="11"/>
      <c r="H7" s="11"/>
    </row>
    <row r="9" spans="1:8" s="71" customFormat="1" ht="15.75" x14ac:dyDescent="0.25">
      <c r="B9" s="23" t="s">
        <v>131</v>
      </c>
      <c r="C9" s="23" t="s">
        <v>132</v>
      </c>
      <c r="D9" s="23" t="s">
        <v>133</v>
      </c>
      <c r="E9" s="23" t="s">
        <v>167</v>
      </c>
      <c r="F9" s="23">
        <v>2023</v>
      </c>
      <c r="G9" s="23">
        <v>2022</v>
      </c>
      <c r="H9" s="23" t="s">
        <v>135</v>
      </c>
    </row>
    <row r="10" spans="1:8" x14ac:dyDescent="0.25">
      <c r="B10" s="10" t="s">
        <v>136</v>
      </c>
      <c r="C10" s="10" t="s">
        <v>137</v>
      </c>
      <c r="D10" s="29" t="s">
        <v>138</v>
      </c>
      <c r="E10" s="72" t="s">
        <v>139</v>
      </c>
      <c r="F10" s="73">
        <f>'[6]Electricity 2023'!S15</f>
        <v>28432.320008000002</v>
      </c>
      <c r="G10" s="74">
        <v>27246</v>
      </c>
      <c r="H10" s="15">
        <f t="shared" ref="H10:H29" si="0">(F10-G10)/G10</f>
        <v>4.3541070542465039E-2</v>
      </c>
    </row>
    <row r="11" spans="1:8" x14ac:dyDescent="0.25">
      <c r="E11" s="10" t="s">
        <v>208</v>
      </c>
      <c r="F11" s="73">
        <v>100</v>
      </c>
      <c r="G11" s="74">
        <v>100</v>
      </c>
      <c r="H11" s="15">
        <f t="shared" si="0"/>
        <v>0</v>
      </c>
    </row>
    <row r="12" spans="1:8" x14ac:dyDescent="0.25">
      <c r="B12" s="10" t="s">
        <v>140</v>
      </c>
      <c r="C12" s="10" t="s">
        <v>141</v>
      </c>
      <c r="D12" s="10" t="s">
        <v>138</v>
      </c>
      <c r="E12" s="10" t="s">
        <v>139</v>
      </c>
      <c r="F12" s="73">
        <f>F10</f>
        <v>28432.320008000002</v>
      </c>
      <c r="G12" s="74">
        <v>27246</v>
      </c>
      <c r="H12" s="15">
        <f t="shared" si="0"/>
        <v>4.3541070542465039E-2</v>
      </c>
    </row>
    <row r="13" spans="1:8" x14ac:dyDescent="0.25">
      <c r="B13" s="10" t="s">
        <v>142</v>
      </c>
      <c r="C13" s="10" t="s">
        <v>143</v>
      </c>
      <c r="D13" s="10" t="s">
        <v>138</v>
      </c>
      <c r="E13" s="10" t="s">
        <v>139</v>
      </c>
      <c r="F13" s="73">
        <f>'[6]Gas 2023'!S12</f>
        <v>29090.655254999998</v>
      </c>
      <c r="G13" s="74">
        <v>39440</v>
      </c>
      <c r="H13" s="15">
        <f t="shared" si="0"/>
        <v>-0.26240732112068971</v>
      </c>
    </row>
    <row r="14" spans="1:8" x14ac:dyDescent="0.25">
      <c r="B14" s="10" t="s">
        <v>144</v>
      </c>
      <c r="C14" s="10" t="s">
        <v>145</v>
      </c>
      <c r="D14" s="10" t="s">
        <v>138</v>
      </c>
      <c r="E14" s="10" t="s">
        <v>139</v>
      </c>
      <c r="F14" s="73">
        <f>F13</f>
        <v>29090.655254999998</v>
      </c>
      <c r="G14" s="74">
        <v>39440</v>
      </c>
      <c r="H14" s="15">
        <f t="shared" si="0"/>
        <v>-0.26240732112068971</v>
      </c>
    </row>
    <row r="15" spans="1:8" ht="16.5" x14ac:dyDescent="0.25">
      <c r="B15" s="10" t="s">
        <v>173</v>
      </c>
      <c r="C15" s="10" t="s">
        <v>174</v>
      </c>
      <c r="D15" s="10" t="s">
        <v>175</v>
      </c>
      <c r="E15" s="10" t="s">
        <v>176</v>
      </c>
      <c r="F15" s="73">
        <f>(F13+F10)/593</f>
        <v>97.003330966273182</v>
      </c>
      <c r="G15" s="74">
        <v>112</v>
      </c>
      <c r="H15" s="15">
        <f t="shared" si="0"/>
        <v>-0.13389883065827515</v>
      </c>
    </row>
    <row r="16" spans="1:8" ht="18" x14ac:dyDescent="0.35">
      <c r="B16" s="10" t="s">
        <v>146</v>
      </c>
      <c r="C16" s="10" t="s">
        <v>147</v>
      </c>
      <c r="D16" s="10" t="s">
        <v>148</v>
      </c>
      <c r="E16" s="10" t="s">
        <v>149</v>
      </c>
      <c r="F16" s="73">
        <f>(F13*'[6]IEA CO2e Conversion Factors'!M3)/1000000</f>
        <v>4.9409314324407294</v>
      </c>
      <c r="G16" s="73">
        <f>(G13*'[6]IEA CO2e Conversion Factors'!M3)/1000000</f>
        <v>6.6987262400000001</v>
      </c>
      <c r="H16" s="15">
        <f t="shared" si="0"/>
        <v>-0.26240732112068976</v>
      </c>
    </row>
    <row r="17" spans="2:8" ht="18" x14ac:dyDescent="0.35">
      <c r="B17" s="10" t="s">
        <v>206</v>
      </c>
      <c r="C17" s="10" t="s">
        <v>151</v>
      </c>
      <c r="D17" s="10" t="s">
        <v>152</v>
      </c>
      <c r="E17" s="10" t="s">
        <v>149</v>
      </c>
      <c r="F17" s="73">
        <f>F10*'[6]IEA CO2e Conversion Factors'!C3/1000000</f>
        <v>9.011294011623507</v>
      </c>
      <c r="G17" s="73">
        <f>G10*'[6]IEA CO2e Conversion Factors'!C3/1000000</f>
        <v>8.6353036464000006</v>
      </c>
      <c r="H17" s="15">
        <f t="shared" si="0"/>
        <v>4.3541070542464852E-2</v>
      </c>
    </row>
    <row r="18" spans="2:8" ht="18" x14ac:dyDescent="0.35">
      <c r="B18" s="10" t="s">
        <v>182</v>
      </c>
      <c r="C18" s="10" t="s">
        <v>183</v>
      </c>
      <c r="D18" s="10" t="s">
        <v>184</v>
      </c>
      <c r="E18" s="10" t="s">
        <v>185</v>
      </c>
      <c r="F18" s="75">
        <f>(F17+F16)/593</f>
        <v>2.3528204796061106E-2</v>
      </c>
      <c r="G18" s="75">
        <f>(G17+G16)/593</f>
        <v>2.5858397784822934E-2</v>
      </c>
      <c r="H18" s="15">
        <f t="shared" si="0"/>
        <v>-9.0113587398268247E-2</v>
      </c>
    </row>
    <row r="19" spans="2:8" ht="16.5" x14ac:dyDescent="0.25">
      <c r="B19" s="10" t="s">
        <v>154</v>
      </c>
      <c r="C19" s="10" t="s">
        <v>155</v>
      </c>
      <c r="D19" s="10" t="s">
        <v>156</v>
      </c>
      <c r="E19" s="10" t="s">
        <v>157</v>
      </c>
      <c r="F19" s="73">
        <f>'[6]Water 2023'!S13</f>
        <v>85.251549000000011</v>
      </c>
      <c r="G19" s="74">
        <v>9</v>
      </c>
      <c r="H19" s="15">
        <f t="shared" si="0"/>
        <v>8.4723943333333338</v>
      </c>
    </row>
    <row r="20" spans="2:8" ht="16.5" x14ac:dyDescent="0.25">
      <c r="B20" s="10" t="s">
        <v>158</v>
      </c>
      <c r="C20" s="10" t="s">
        <v>159</v>
      </c>
      <c r="D20" s="10" t="s">
        <v>156</v>
      </c>
      <c r="E20" s="10" t="s">
        <v>157</v>
      </c>
      <c r="F20" s="73">
        <f>F19</f>
        <v>85.251549000000011</v>
      </c>
      <c r="G20" s="74">
        <v>9</v>
      </c>
      <c r="H20" s="15">
        <f t="shared" si="0"/>
        <v>8.4723943333333338</v>
      </c>
    </row>
    <row r="21" spans="2:8" ht="16.5" x14ac:dyDescent="0.25">
      <c r="B21" s="10" t="s">
        <v>186</v>
      </c>
      <c r="C21" s="10" t="s">
        <v>187</v>
      </c>
      <c r="D21" s="10" t="s">
        <v>156</v>
      </c>
      <c r="E21" s="10" t="s">
        <v>209</v>
      </c>
      <c r="F21" s="76">
        <f>F19/31</f>
        <v>2.7500499677419357</v>
      </c>
      <c r="G21" s="36">
        <v>0.27</v>
      </c>
      <c r="H21" s="15">
        <f t="shared" si="0"/>
        <v>9.1853702508960566</v>
      </c>
    </row>
    <row r="22" spans="2:8" x14ac:dyDescent="0.25">
      <c r="B22" s="10" t="s">
        <v>189</v>
      </c>
      <c r="C22" s="10" t="s">
        <v>161</v>
      </c>
      <c r="D22" s="10" t="s">
        <v>162</v>
      </c>
      <c r="E22" s="10" t="s">
        <v>163</v>
      </c>
      <c r="F22" s="33">
        <f>('[6]Waste 2023'!S11+'[6]Waste 2023'!S12+'[6]Waste 2023'!S13)*0.051</f>
        <v>1.1741729999999999</v>
      </c>
      <c r="G22" s="70">
        <v>0.80018999999999996</v>
      </c>
      <c r="H22" s="15">
        <f t="shared" si="0"/>
        <v>0.46736775015933713</v>
      </c>
    </row>
    <row r="23" spans="2:8" x14ac:dyDescent="0.25">
      <c r="E23" s="10" t="s">
        <v>190</v>
      </c>
      <c r="F23" s="34">
        <f>('[6]Waste 2023'!S13*0.051)/'7'!F22</f>
        <v>0.39899231203579028</v>
      </c>
      <c r="G23" s="34">
        <v>0.49</v>
      </c>
      <c r="H23" s="15">
        <f t="shared" si="0"/>
        <v>-0.18572997543716269</v>
      </c>
    </row>
    <row r="24" spans="2:8" x14ac:dyDescent="0.25">
      <c r="E24" s="10" t="s">
        <v>191</v>
      </c>
      <c r="F24" s="34">
        <f>('[6]Waste 2023'!S11*0.052)/'7'!F22</f>
        <v>0.15287696106110427</v>
      </c>
      <c r="G24" s="34">
        <v>0.14000000000000001</v>
      </c>
      <c r="H24" s="15">
        <f t="shared" si="0"/>
        <v>9.1978293293601798E-2</v>
      </c>
    </row>
    <row r="25" spans="2:8" x14ac:dyDescent="0.25">
      <c r="E25" s="10" t="s">
        <v>192</v>
      </c>
      <c r="F25" s="34">
        <f>('[6]Waste 2023'!S12*0.051)/'7'!F22</f>
        <v>0.4510706684619728</v>
      </c>
      <c r="G25" s="34">
        <v>0.37</v>
      </c>
      <c r="H25" s="15">
        <f t="shared" si="0"/>
        <v>0.21910991476208866</v>
      </c>
    </row>
    <row r="26" spans="2:8" x14ac:dyDescent="0.25">
      <c r="B26" s="10" t="s">
        <v>193</v>
      </c>
      <c r="C26" s="10" t="s">
        <v>165</v>
      </c>
      <c r="D26" s="10" t="s">
        <v>162</v>
      </c>
      <c r="E26" s="10" t="s">
        <v>163</v>
      </c>
      <c r="F26" s="28">
        <f t="shared" ref="F26:G29" si="1">F22</f>
        <v>1.1741729999999999</v>
      </c>
      <c r="G26" s="77">
        <f t="shared" si="1"/>
        <v>0.80018999999999996</v>
      </c>
      <c r="H26" s="15">
        <f t="shared" si="0"/>
        <v>0.46736775015933713</v>
      </c>
    </row>
    <row r="27" spans="2:8" x14ac:dyDescent="0.25">
      <c r="E27" s="10" t="s">
        <v>190</v>
      </c>
      <c r="F27" s="34">
        <f t="shared" si="1"/>
        <v>0.39899231203579028</v>
      </c>
      <c r="G27" s="34">
        <f t="shared" si="1"/>
        <v>0.49</v>
      </c>
      <c r="H27" s="15">
        <f t="shared" si="0"/>
        <v>-0.18572997543716269</v>
      </c>
    </row>
    <row r="28" spans="2:8" x14ac:dyDescent="0.25">
      <c r="E28" s="10" t="s">
        <v>191</v>
      </c>
      <c r="F28" s="34">
        <f t="shared" si="1"/>
        <v>0.15287696106110427</v>
      </c>
      <c r="G28" s="34">
        <f t="shared" si="1"/>
        <v>0.14000000000000001</v>
      </c>
      <c r="H28" s="15">
        <f t="shared" si="0"/>
        <v>9.1978293293601798E-2</v>
      </c>
    </row>
    <row r="29" spans="2:8" ht="15.75" thickBot="1" x14ac:dyDescent="0.3">
      <c r="B29" s="37"/>
      <c r="C29" s="37"/>
      <c r="D29" s="37"/>
      <c r="E29" s="37" t="s">
        <v>192</v>
      </c>
      <c r="F29" s="45">
        <f t="shared" si="1"/>
        <v>0.4510706684619728</v>
      </c>
      <c r="G29" s="40">
        <f t="shared" si="1"/>
        <v>0.37</v>
      </c>
      <c r="H29" s="41">
        <f t="shared" si="0"/>
        <v>0.21910991476208866</v>
      </c>
    </row>
    <row r="31" spans="2:8" x14ac:dyDescent="0.25">
      <c r="B31" s="8"/>
      <c r="C31" s="9"/>
      <c r="D31" s="9"/>
      <c r="E31" s="9"/>
      <c r="F31" s="9"/>
      <c r="G31" s="9"/>
    </row>
    <row r="32" spans="2:8" x14ac:dyDescent="0.25">
      <c r="B32" s="9"/>
      <c r="C32" s="9"/>
      <c r="D32" s="9"/>
      <c r="E32" s="9"/>
      <c r="F32" s="9"/>
      <c r="G32" s="9"/>
    </row>
    <row r="33" spans="2:7" x14ac:dyDescent="0.25">
      <c r="B33" s="9"/>
      <c r="C33" s="9"/>
      <c r="D33" s="9"/>
      <c r="E33" s="9"/>
      <c r="F33" s="9"/>
      <c r="G33" s="9"/>
    </row>
    <row r="34" spans="2:7" x14ac:dyDescent="0.25">
      <c r="B34" s="9"/>
      <c r="C34" s="9"/>
      <c r="D34" s="9"/>
      <c r="E34" s="9"/>
      <c r="F34" s="9"/>
      <c r="G34" s="9"/>
    </row>
    <row r="35" spans="2:7" x14ac:dyDescent="0.25">
      <c r="B35" s="99"/>
      <c r="C35" s="99"/>
      <c r="D35" s="99"/>
      <c r="E35" s="99"/>
      <c r="F35" s="99"/>
      <c r="G35" s="99"/>
    </row>
    <row r="36" spans="2:7" ht="50.25" customHeight="1" x14ac:dyDescent="0.25">
      <c r="B36" s="99"/>
      <c r="C36" s="99"/>
      <c r="D36" s="99"/>
      <c r="E36" s="99"/>
      <c r="F36" s="99"/>
      <c r="G36" s="99"/>
    </row>
  </sheetData>
  <sheetProtection algorithmName="SHA-512" hashValue="Ffyz4jd7v/pItR88S4puq9i4aK9izlqmaqD3jT/BHE83/bU9uDa0K4a28RhYyQxIZNBq1eXoe0ZYLYuRkk4Cng==" saltValue="gACRUZr6F+19ETx0kOwPlg==" spinCount="100000" sheet="1" objects="1" scenarios="1"/>
  <mergeCells count="1">
    <mergeCell ref="B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2810-F10D-44BE-8AA9-03AFA710A7D0}">
  <sheetPr codeName="Sheet9">
    <tabColor rgb="FF00B050"/>
  </sheetPr>
  <dimension ref="A2:O33"/>
  <sheetViews>
    <sheetView showGridLines="0" topLeftCell="A6" zoomScale="85" zoomScaleNormal="85" workbookViewId="0">
      <selection activeCell="R13" sqref="R13"/>
    </sheetView>
  </sheetViews>
  <sheetFormatPr defaultColWidth="9" defaultRowHeight="15" x14ac:dyDescent="0.25"/>
  <cols>
    <col min="1" max="1" width="3.85546875" style="10" customWidth="1"/>
    <col min="2" max="2" width="42" style="10" customWidth="1"/>
    <col min="3" max="3" width="44.28515625" style="10" customWidth="1"/>
    <col min="4" max="4" width="24.42578125" style="10" customWidth="1"/>
    <col min="5" max="6" width="12.140625" style="10" customWidth="1"/>
    <col min="7" max="7" width="9" style="10"/>
    <col min="8" max="10" width="12.7109375" style="10" customWidth="1"/>
    <col min="11" max="16384" width="9" style="10"/>
  </cols>
  <sheetData>
    <row r="2" spans="1:15" ht="12" customHeight="1" x14ac:dyDescent="0.5">
      <c r="A2" s="5"/>
    </row>
    <row r="3" spans="1:15" ht="31.5" x14ac:dyDescent="0.5">
      <c r="A3" s="5"/>
      <c r="B3" s="5"/>
      <c r="C3" s="5"/>
      <c r="D3" s="5" t="s">
        <v>0</v>
      </c>
      <c r="F3" s="5"/>
      <c r="I3" s="5"/>
    </row>
    <row r="6" spans="1:15" ht="51.4" customHeight="1" x14ac:dyDescent="0.25"/>
    <row r="7" spans="1:15" ht="21.75" thickBot="1" x14ac:dyDescent="0.4">
      <c r="B7" s="78" t="s">
        <v>9</v>
      </c>
      <c r="C7" s="78"/>
      <c r="D7" s="78"/>
      <c r="E7" s="37"/>
      <c r="F7" s="37"/>
      <c r="G7" s="37"/>
      <c r="H7" s="37"/>
      <c r="I7" s="37"/>
      <c r="J7" s="37"/>
    </row>
    <row r="10" spans="1:15" s="79" customFormat="1" ht="49.5" x14ac:dyDescent="0.25">
      <c r="B10" s="7"/>
      <c r="C10" s="7" t="s">
        <v>210</v>
      </c>
      <c r="D10" s="7" t="s">
        <v>211</v>
      </c>
      <c r="E10" s="7">
        <v>2023</v>
      </c>
      <c r="F10" s="7">
        <v>2022</v>
      </c>
      <c r="G10" s="7" t="s">
        <v>135</v>
      </c>
      <c r="H10" s="7" t="s">
        <v>212</v>
      </c>
      <c r="I10" s="7" t="s">
        <v>213</v>
      </c>
      <c r="J10" s="7" t="s">
        <v>214</v>
      </c>
    </row>
    <row r="11" spans="1:15" ht="18" x14ac:dyDescent="0.35">
      <c r="B11" s="10" t="s">
        <v>215</v>
      </c>
      <c r="C11" s="29" t="s">
        <v>216</v>
      </c>
      <c r="D11" s="80" t="s">
        <v>217</v>
      </c>
      <c r="E11" s="73">
        <f>'3'!F14</f>
        <v>538.06903255665009</v>
      </c>
      <c r="F11" s="74">
        <f>'3'!G14</f>
        <v>601.09127830200009</v>
      </c>
      <c r="G11" s="15">
        <f>(E11-F11)/F11</f>
        <v>-0.10484638193949371</v>
      </c>
      <c r="H11" s="81" t="s">
        <v>218</v>
      </c>
      <c r="I11" s="81" t="s">
        <v>218</v>
      </c>
      <c r="J11" s="81" t="s">
        <v>218</v>
      </c>
      <c r="O11" s="15"/>
    </row>
    <row r="12" spans="1:15" ht="18" x14ac:dyDescent="0.35">
      <c r="B12" s="10" t="s">
        <v>219</v>
      </c>
      <c r="C12" s="10" t="s">
        <v>220</v>
      </c>
      <c r="D12" s="80" t="s">
        <v>217</v>
      </c>
      <c r="E12" s="73">
        <f>'3'!F15</f>
        <v>813.16629899037309</v>
      </c>
      <c r="F12" s="74">
        <f>'3'!G15</f>
        <v>851.76814673920001</v>
      </c>
      <c r="G12" s="15">
        <f>(E12-F12)/F12</f>
        <v>-4.531966579943765E-2</v>
      </c>
      <c r="H12" s="81" t="s">
        <v>218</v>
      </c>
      <c r="I12" s="81" t="s">
        <v>218</v>
      </c>
      <c r="J12" s="81" t="s">
        <v>218</v>
      </c>
    </row>
    <row r="13" spans="1:15" ht="18" x14ac:dyDescent="0.35">
      <c r="C13" s="80" t="s">
        <v>221</v>
      </c>
      <c r="D13" s="80" t="s">
        <v>217</v>
      </c>
      <c r="E13" s="73">
        <v>0</v>
      </c>
      <c r="F13" s="74">
        <v>0</v>
      </c>
      <c r="G13" s="14" t="s">
        <v>222</v>
      </c>
      <c r="H13" s="81" t="s">
        <v>218</v>
      </c>
      <c r="I13" s="81" t="s">
        <v>218</v>
      </c>
      <c r="J13" s="81" t="s">
        <v>218</v>
      </c>
    </row>
    <row r="14" spans="1:15" ht="18" x14ac:dyDescent="0.35">
      <c r="B14" s="10" t="s">
        <v>223</v>
      </c>
      <c r="D14" s="80" t="s">
        <v>217</v>
      </c>
      <c r="E14" s="73">
        <f>SUM(E11:E12)</f>
        <v>1351.2353315470232</v>
      </c>
      <c r="F14" s="74">
        <v>1502</v>
      </c>
      <c r="G14" s="15">
        <f>(E14-F14)/F14</f>
        <v>-0.10037594437614968</v>
      </c>
      <c r="H14" s="81"/>
      <c r="I14" s="81"/>
      <c r="J14" s="81"/>
    </row>
    <row r="15" spans="1:15" x14ac:dyDescent="0.25">
      <c r="E15" s="73"/>
      <c r="F15" s="74"/>
      <c r="G15" s="15"/>
      <c r="H15" s="81"/>
      <c r="I15" s="81"/>
      <c r="J15" s="81"/>
    </row>
    <row r="16" spans="1:15" x14ac:dyDescent="0.25">
      <c r="B16" s="10" t="s">
        <v>224</v>
      </c>
      <c r="E16" s="73"/>
      <c r="F16" s="74"/>
      <c r="G16" s="15"/>
      <c r="H16" s="81"/>
      <c r="I16" s="81"/>
      <c r="J16" s="81"/>
    </row>
    <row r="17" spans="2:10" ht="18" x14ac:dyDescent="0.35">
      <c r="B17" s="10" t="s">
        <v>225</v>
      </c>
      <c r="C17" s="80" t="s">
        <v>226</v>
      </c>
      <c r="D17" s="80" t="s">
        <v>217</v>
      </c>
      <c r="E17" s="73">
        <v>1187.42</v>
      </c>
      <c r="F17" s="74">
        <v>3985</v>
      </c>
      <c r="G17" s="15">
        <f>(E17-F17)/F17</f>
        <v>-0.70202760351317439</v>
      </c>
      <c r="H17" s="81" t="s">
        <v>227</v>
      </c>
      <c r="I17" s="81" t="s">
        <v>227</v>
      </c>
      <c r="J17" s="81" t="s">
        <v>227</v>
      </c>
    </row>
    <row r="18" spans="2:10" ht="18" x14ac:dyDescent="0.35">
      <c r="B18" s="10" t="s">
        <v>228</v>
      </c>
      <c r="C18" s="29" t="s">
        <v>229</v>
      </c>
      <c r="D18" s="80" t="s">
        <v>217</v>
      </c>
      <c r="E18" s="73">
        <v>2008.47</v>
      </c>
      <c r="F18" s="74" t="s">
        <v>230</v>
      </c>
      <c r="G18" s="15" t="s">
        <v>230</v>
      </c>
      <c r="H18" s="81" t="s">
        <v>218</v>
      </c>
      <c r="I18" s="81" t="s">
        <v>218</v>
      </c>
      <c r="J18" s="81" t="s">
        <v>227</v>
      </c>
    </row>
    <row r="19" spans="2:10" ht="18" x14ac:dyDescent="0.35">
      <c r="B19" s="10" t="s">
        <v>231</v>
      </c>
      <c r="C19" s="10" t="s">
        <v>232</v>
      </c>
      <c r="D19" s="80" t="s">
        <v>217</v>
      </c>
      <c r="E19" s="73">
        <v>275.22000000000003</v>
      </c>
      <c r="F19" s="74">
        <v>332</v>
      </c>
      <c r="G19" s="15">
        <f>(E19-F19)/F19</f>
        <v>-0.17102409638554208</v>
      </c>
      <c r="H19" s="81" t="s">
        <v>218</v>
      </c>
      <c r="I19" s="81" t="s">
        <v>218</v>
      </c>
      <c r="J19" s="81" t="s">
        <v>227</v>
      </c>
    </row>
    <row r="20" spans="2:10" ht="18" x14ac:dyDescent="0.35">
      <c r="B20" s="10" t="s">
        <v>233</v>
      </c>
      <c r="C20" s="80" t="s">
        <v>234</v>
      </c>
      <c r="D20" s="80" t="s">
        <v>217</v>
      </c>
      <c r="E20" s="73">
        <v>6.02</v>
      </c>
      <c r="F20" s="74">
        <v>5</v>
      </c>
      <c r="G20" s="15">
        <f>(E20-F20)/F20</f>
        <v>0.2039999999999999</v>
      </c>
      <c r="H20" s="81" t="s">
        <v>218</v>
      </c>
      <c r="I20" s="81" t="s">
        <v>227</v>
      </c>
      <c r="J20" s="81" t="s">
        <v>227</v>
      </c>
    </row>
    <row r="21" spans="2:10" ht="18" x14ac:dyDescent="0.35">
      <c r="B21" s="10" t="s">
        <v>235</v>
      </c>
      <c r="C21" s="10" t="s">
        <v>236</v>
      </c>
      <c r="D21" s="80" t="s">
        <v>217</v>
      </c>
      <c r="E21" s="73">
        <v>9.07</v>
      </c>
      <c r="F21" s="74">
        <v>6</v>
      </c>
      <c r="G21" s="14" t="s">
        <v>222</v>
      </c>
      <c r="H21" s="81" t="s">
        <v>218</v>
      </c>
      <c r="I21" s="81" t="s">
        <v>227</v>
      </c>
      <c r="J21" s="81" t="s">
        <v>227</v>
      </c>
    </row>
    <row r="22" spans="2:10" ht="18" x14ac:dyDescent="0.35">
      <c r="B22" s="10" t="s">
        <v>237</v>
      </c>
      <c r="C22" s="80" t="s">
        <v>238</v>
      </c>
      <c r="D22" s="80" t="s">
        <v>217</v>
      </c>
      <c r="E22" s="73">
        <v>15.52</v>
      </c>
      <c r="F22" s="74">
        <v>14</v>
      </c>
      <c r="G22" s="15">
        <f>(E22-F22)/F22</f>
        <v>0.10857142857142854</v>
      </c>
      <c r="H22" s="81" t="s">
        <v>227</v>
      </c>
      <c r="I22" s="81" t="s">
        <v>227</v>
      </c>
      <c r="J22" s="81" t="s">
        <v>227</v>
      </c>
    </row>
    <row r="23" spans="2:10" ht="18" x14ac:dyDescent="0.35">
      <c r="B23" s="10" t="s">
        <v>239</v>
      </c>
      <c r="C23" s="80" t="s">
        <v>240</v>
      </c>
      <c r="D23" s="80" t="s">
        <v>217</v>
      </c>
      <c r="E23" s="73">
        <v>2927.9</v>
      </c>
      <c r="F23" s="74">
        <v>3794</v>
      </c>
      <c r="G23" s="15">
        <f>(E23-F23)/F23</f>
        <v>-0.22828149710068527</v>
      </c>
      <c r="H23" s="81" t="s">
        <v>218</v>
      </c>
      <c r="I23" s="81" t="s">
        <v>218</v>
      </c>
      <c r="J23" s="81" t="s">
        <v>218</v>
      </c>
    </row>
    <row r="24" spans="2:10" x14ac:dyDescent="0.25">
      <c r="E24" s="73"/>
      <c r="F24" s="74"/>
      <c r="G24" s="15"/>
      <c r="H24" s="81"/>
      <c r="I24" s="81"/>
      <c r="J24" s="81"/>
    </row>
    <row r="25" spans="2:10" ht="18" x14ac:dyDescent="0.35">
      <c r="B25" s="10" t="s">
        <v>241</v>
      </c>
      <c r="D25" s="80" t="s">
        <v>217</v>
      </c>
      <c r="E25" s="73">
        <f>SUM(E17:E23)</f>
        <v>6429.6200000000008</v>
      </c>
      <c r="F25" s="74">
        <v>8137</v>
      </c>
      <c r="G25" s="15">
        <f>(E25-F25)/F25</f>
        <v>-0.20982917537175855</v>
      </c>
      <c r="H25" s="81"/>
      <c r="I25" s="81"/>
      <c r="J25" s="81"/>
    </row>
    <row r="26" spans="2:10" x14ac:dyDescent="0.25">
      <c r="E26" s="73"/>
      <c r="F26" s="74"/>
      <c r="G26" s="15"/>
      <c r="H26" s="81"/>
      <c r="I26" s="81"/>
      <c r="J26" s="81"/>
    </row>
    <row r="27" spans="2:10" ht="18.75" thickBot="1" x14ac:dyDescent="0.4">
      <c r="B27" s="11" t="s">
        <v>242</v>
      </c>
      <c r="C27" s="11"/>
      <c r="D27" s="82" t="s">
        <v>217</v>
      </c>
      <c r="E27" s="83">
        <f>SUM(E25+E14)</f>
        <v>7780.8553315470235</v>
      </c>
      <c r="F27" s="84">
        <v>9639</v>
      </c>
      <c r="G27" s="41">
        <f>(E27-F27)/F27</f>
        <v>-0.19277359357329354</v>
      </c>
      <c r="H27" s="85"/>
      <c r="I27" s="85"/>
      <c r="J27" s="85"/>
    </row>
    <row r="29" spans="2:10" x14ac:dyDescent="0.25">
      <c r="B29" s="8" t="s">
        <v>243</v>
      </c>
    </row>
    <row r="30" spans="2:10" x14ac:dyDescent="0.25">
      <c r="B30" s="9" t="s">
        <v>244</v>
      </c>
    </row>
    <row r="31" spans="2:10" x14ac:dyDescent="0.25">
      <c r="B31" s="9" t="s">
        <v>245</v>
      </c>
    </row>
    <row r="32" spans="2:10" x14ac:dyDescent="0.25">
      <c r="B32" s="9" t="s">
        <v>246</v>
      </c>
    </row>
    <row r="33" spans="2:2" x14ac:dyDescent="0.25">
      <c r="B33" s="9" t="s">
        <v>247</v>
      </c>
    </row>
  </sheetData>
  <sheetProtection algorithmName="SHA-512" hashValue="niOEAYJjoaebvzDKcEe0/UzwBU06u+JsTm8NJq3o8YB6TDULKAdZkVWlmFiCURRUbfschMvwgpPgDQ/t68BJGA==" saltValue="RyJrpUmH6yVs6GHQ5HcuGw=="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17b33b-47d3-494f-a542-437dfe07962a">
      <Terms xmlns="http://schemas.microsoft.com/office/infopath/2007/PartnerControls"/>
    </lcf76f155ced4ddcb4097134ff3c332f>
    <ReportType xmlns="f817b33b-47d3-494f-a542-437dfe07962a" xsi:nil="true"/>
    <Year xmlns="87bdd66f-026f-4c23-8eab-be55c2855fdb" xsi:nil="true"/>
    <From1 xmlns="87bdd66f-026f-4c23-8eab-be55c2855fdb" xsi:nil="true"/>
    <Email_x0020_Subject xmlns="87bdd66f-026f-4c23-8eab-be55c2855fdb" xsi:nil="true"/>
    <EmailDate xmlns="87bdd66f-026f-4c23-8eab-be55c2855fdb" xsi:nil="true"/>
    <To xmlns="87bdd66f-026f-4c23-8eab-be55c2855fdb" xsi:nil="true"/>
    <TaxCatchAll xmlns="87bdd66f-026f-4c23-8eab-be55c2855f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870D23603D9E4CA05F475BD32C5878" ma:contentTypeVersion="26" ma:contentTypeDescription="Create a new document." ma:contentTypeScope="" ma:versionID="5b715712576b437184c1a1903afd3c44">
  <xsd:schema xmlns:xsd="http://www.w3.org/2001/XMLSchema" xmlns:xs="http://www.w3.org/2001/XMLSchema" xmlns:p="http://schemas.microsoft.com/office/2006/metadata/properties" xmlns:ns2="f817b33b-47d3-494f-a542-437dfe07962a" xmlns:ns3="87bdd66f-026f-4c23-8eab-be55c2855fdb" xmlns:ns4="48d1a8fa-9d4a-4a93-ac8c-dfb1a790b9ee" targetNamespace="http://schemas.microsoft.com/office/2006/metadata/properties" ma:root="true" ma:fieldsID="403cbc6d6fef1bd183d62cac3af765e4" ns2:_="" ns3:_="" ns4:_="">
    <xsd:import namespace="f817b33b-47d3-494f-a542-437dfe07962a"/>
    <xsd:import namespace="87bdd66f-026f-4c23-8eab-be55c2855fdb"/>
    <xsd:import namespace="48d1a8fa-9d4a-4a93-ac8c-dfb1a790b9ee"/>
    <xsd:element name="properties">
      <xsd:complexType>
        <xsd:sequence>
          <xsd:element name="documentManagement">
            <xsd:complexType>
              <xsd:all>
                <xsd:element ref="ns2:ReportType" minOccurs="0"/>
                <xsd:element ref="ns3:Year" minOccurs="0"/>
                <xsd:element ref="ns3:From1" minOccurs="0"/>
                <xsd:element ref="ns3:To" minOccurs="0"/>
                <xsd:element ref="ns3:Email_x0020_Subject" minOccurs="0"/>
                <xsd:element ref="ns3:EmailDate" minOccurs="0"/>
                <xsd:element ref="ns2:MediaServiceMetadata" minOccurs="0"/>
                <xsd:element ref="ns2:MediaServiceFastMetadata" minOccurs="0"/>
                <xsd:element ref="ns2:MediaServiceAutoKeyPoints" minOccurs="0"/>
                <xsd:element ref="ns2:MediaServiceKeyPoints" minOccurs="0"/>
                <xsd:element ref="ns4:SharedWithUsers" minOccurs="0"/>
                <xsd:element ref="ns4: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7b33b-47d3-494f-a542-437dfe07962a" elementFormDefault="qualified">
    <xsd:import namespace="http://schemas.microsoft.com/office/2006/documentManagement/types"/>
    <xsd:import namespace="http://schemas.microsoft.com/office/infopath/2007/PartnerControls"/>
    <xsd:element name="ReportType" ma:index="2" nillable="true" ma:displayName="Report Type" ma:indexed="true" ma:list="{d7eeb91c-a33f-442e-bc4f-9a0f52b280a8}" ma:internalName="ReportType" ma:readOnly="false" ma:showField="Title">
      <xsd:simpleType>
        <xsd:restriction base="dms:Lookup"/>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8ad33c-84ad-4ca3-a40f-9be31f1174bd"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indexed="true" ma:internalName="MediaServiceLocation" ma:readOnly="true">
      <xsd:simpleType>
        <xsd:restriction base="dms:Text"/>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dd66f-026f-4c23-8eab-be55c2855fdb" elementFormDefault="qualified">
    <xsd:import namespace="http://schemas.microsoft.com/office/2006/documentManagement/types"/>
    <xsd:import namespace="http://schemas.microsoft.com/office/infopath/2007/PartnerControls"/>
    <xsd:element name="Year" ma:index="3" nillable="true" ma:displayName="Year" ma:format="Dropdown" ma:indexed="true" ma:internalName="Year">
      <xsd:simpleType>
        <xsd:restriction base="dms:Choice">
          <xsd:enumeration value="2024"/>
          <xsd:enumeration value="2023"/>
          <xsd:enumeration value="2022"/>
          <xsd:enumeration value="2021"/>
          <xsd:enumeration value="2020"/>
          <xsd:enumeration value="2019"/>
          <xsd:enumeration value="2018"/>
          <xsd:enumeration value="2017"/>
          <xsd:enumeration value="2016"/>
          <xsd:enumeration value="2015"/>
          <xsd:enumeration value="Pre-2015"/>
        </xsd:restriction>
      </xsd:simpleType>
    </xsd:element>
    <xsd:element name="From1" ma:index="4" nillable="true" ma:displayName="From" ma:internalName="From1">
      <xsd:simpleType>
        <xsd:restriction base="dms:Text">
          <xsd:maxLength value="255"/>
        </xsd:restriction>
      </xsd:simpleType>
    </xsd:element>
    <xsd:element name="To" ma:index="5" nillable="true" ma:displayName="To" ma:internalName="To">
      <xsd:simpleType>
        <xsd:restriction base="dms:Note">
          <xsd:maxLength value="255"/>
        </xsd:restriction>
      </xsd:simpleType>
    </xsd:element>
    <xsd:element name="Email_x0020_Subject" ma:index="6" nillable="true" ma:displayName="Email Subject" ma:internalName="Email_x0020_Subject">
      <xsd:simpleType>
        <xsd:restriction base="dms:Text">
          <xsd:maxLength value="255"/>
        </xsd:restriction>
      </xsd:simpleType>
    </xsd:element>
    <xsd:element name="EmailDate" ma:index="7" nillable="true" ma:displayName="Email Date" ma:format="DateTime" ma:internalName="EmailDate">
      <xsd:simpleType>
        <xsd:restriction base="dms:DateTime"/>
      </xsd:simpleType>
    </xsd:element>
    <xsd:element name="TaxCatchAll" ma:index="27" nillable="true" ma:displayName="Taxonomy Catch All Column" ma:hidden="true" ma:list="{5cd87c7a-9e03-4715-ae64-0df77fc4bb44}" ma:internalName="TaxCatchAll" ma:showField="CatchAllData" ma:web="87bdd66f-026f-4c23-8eab-be55c2855f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d1a8fa-9d4a-4a93-ac8c-dfb1a790b9e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573333-EE04-4E69-9872-99B8D400121E}">
  <ds:schemaRefs>
    <ds:schemaRef ds:uri="f817b33b-47d3-494f-a542-437dfe07962a"/>
    <ds:schemaRef ds:uri="http://schemas.microsoft.com/office/2006/documentManagement/types"/>
    <ds:schemaRef ds:uri="87bdd66f-026f-4c23-8eab-be55c2855fdb"/>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48d1a8fa-9d4a-4a93-ac8c-dfb1a790b9ee"/>
    <ds:schemaRef ds:uri="http://www.w3.org/XML/1998/namespace"/>
    <ds:schemaRef ds:uri="http://purl.org/dc/dcmitype/"/>
  </ds:schemaRefs>
</ds:datastoreItem>
</file>

<file path=customXml/itemProps2.xml><?xml version="1.0" encoding="utf-8"?>
<ds:datastoreItem xmlns:ds="http://schemas.openxmlformats.org/officeDocument/2006/customXml" ds:itemID="{A1E9D316-85F3-4C35-91B4-CD1069B1747D}">
  <ds:schemaRefs>
    <ds:schemaRef ds:uri="http://schemas.microsoft.com/sharepoint/v3/contenttype/forms"/>
  </ds:schemaRefs>
</ds:datastoreItem>
</file>

<file path=customXml/itemProps3.xml><?xml version="1.0" encoding="utf-8"?>
<ds:datastoreItem xmlns:ds="http://schemas.openxmlformats.org/officeDocument/2006/customXml" ds:itemID="{9AC4E881-56B4-4BB9-9737-052257D72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7b33b-47d3-494f-a542-437dfe07962a"/>
    <ds:schemaRef ds:uri="87bdd66f-026f-4c23-8eab-be55c2855fdb"/>
    <ds:schemaRef ds:uri="48d1a8fa-9d4a-4a93-ac8c-dfb1a790b9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1</vt:lpstr>
      <vt:lpstr>2</vt:lpstr>
      <vt:lpstr>3</vt:lpstr>
      <vt:lpstr>4</vt:lpstr>
      <vt:lpstr>5</vt:lpstr>
      <vt:lpstr>6</vt:lpstr>
      <vt:lpstr>7</vt:lpstr>
      <vt:lpstr>8</vt:lpstr>
      <vt:lpstr>9</vt:lpstr>
      <vt:lpstr>10</vt:lpstr>
      <vt:lpstr>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Neil Menzies</dc:creator>
  <cp:keywords/>
  <dc:description/>
  <cp:lastModifiedBy>Vanessa Fuentes</cp:lastModifiedBy>
  <cp:revision/>
  <dcterms:created xsi:type="dcterms:W3CDTF">2024-06-14T16:02:45Z</dcterms:created>
  <dcterms:modified xsi:type="dcterms:W3CDTF">2024-06-26T16:03:18Z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0x010100AA870D23603D9E4CA05F475BD32C5878</vt:lpwstr>
  </property>
  <property fmtid="{D5CDD505-2E9C-101B-9397-08002B2CF9AE}" pid="3" name="MediaServiceImageTags">
    <vt:lpwstr/>
  </property>
</Properties>
</file>