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comments4.xml" ContentType="application/vnd.openxmlformats-officedocument.spreadsheetml.comments+xml"/>
  <Override PartName="/xl/threadedComments/threadedComment3.xml" ContentType="application/vnd.ms-excel.threadedcomments+xml"/>
  <Override PartName="/xl/drawings/drawing11.xml" ContentType="application/vnd.openxmlformats-officedocument.drawing+xml"/>
  <Override PartName="/xl/tables/table2.xml" ContentType="application/vnd.openxmlformats-officedocument.spreadsheetml.table+xml"/>
  <Override PartName="/xl/comments5.xml" ContentType="application/vnd.openxmlformats-officedocument.spreadsheetml.comments+xml"/>
  <Override PartName="/xl/threadedComments/threadedComment4.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comments6.xml" ContentType="application/vnd.openxmlformats-officedocument.spreadsheetml.comments+xml"/>
  <Override PartName="/xl/threadedComments/threadedComment5.xml" ContentType="application/vnd.ms-excel.threadedcomments+xml"/>
  <Override PartName="/xl/tables/table5.xml" ContentType="application/vnd.openxmlformats-officedocument.spreadsheetml.table+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tables/table6.xml" ContentType="application/vnd.openxmlformats-officedocument.spreadsheetml.table+xml"/>
  <Override PartName="/xl/drawings/drawing12.xml" ContentType="application/vnd.openxmlformats-officedocument.drawing+xml"/>
  <Override PartName="/xl/comments9.xml" ContentType="application/vnd.openxmlformats-officedocument.spreadsheetml.comments+xml"/>
  <Override PartName="/xl/threadedComments/threadedComment8.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tables/table7.xml" ContentType="application/vnd.openxmlformats-officedocument.spreadsheetml.table+xml"/>
  <Override PartName="/xl/comments10.xml" ContentType="application/vnd.openxmlformats-officedocument.spreadsheetml.comments+xml"/>
  <Override PartName="/xl/threadedComments/threadedComment9.xml" ContentType="application/vnd.ms-excel.threadedcomments+xml"/>
  <Override PartName="/xl/pivotTables/pivotTable2.xml" ContentType="application/vnd.openxmlformats-officedocument.spreadsheetml.pivotTable+xml"/>
  <Override PartName="/xl/tables/table8.xml" ContentType="application/vnd.openxmlformats-officedocument.spreadsheetml.table+xml"/>
  <Override PartName="/xl/drawings/drawing1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1.xml" ContentType="application/vnd.openxmlformats-officedocument.spreadsheetml.comments+xml"/>
  <Override PartName="/xl/threadedComments/threadedComment10.xml" ContentType="application/vnd.ms-excel.threadedcomments+xml"/>
  <Override PartName="/xl/tables/table9.xml" ContentType="application/vnd.openxmlformats-officedocument.spreadsheetml.table+xml"/>
  <Override PartName="/xl/tables/table10.xml" ContentType="application/vnd.openxmlformats-officedocument.spreadsheetml.table+xml"/>
  <Override PartName="/xl/comments12.xml" ContentType="application/vnd.openxmlformats-officedocument.spreadsheetml.comments+xml"/>
  <Override PartName="/xl/threadedComments/threadedComment1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hidePivotFieldList="1" defaultThemeVersion="166925"/>
  <mc:AlternateContent xmlns:mc="http://schemas.openxmlformats.org/markup-compatibility/2006">
    <mc:Choice Requires="x15">
      <x15ac:absPath xmlns:x15ac="http://schemas.microsoft.com/office/spreadsheetml/2010/11/ac" url="https://hiberniareit.sharepoint.com/sustain/reports/Assurance 2026/2025 ESG data book/"/>
    </mc:Choice>
  </mc:AlternateContent>
  <xr:revisionPtr revIDLastSave="708" documentId="8_{E1FD4029-757E-4989-83AD-7EF015C86504}" xr6:coauthVersionLast="47" xr6:coauthVersionMax="47" xr10:uidLastSave="{6C72FDC3-EEC7-455A-A668-955B54220E17}"/>
  <workbookProtection lockStructure="1"/>
  <bookViews>
    <workbookView xWindow="-108" yWindow="-108" windowWidth="41496" windowHeight="16776" tabRatio="861" firstSheet="7" activeTab="16" xr2:uid="{3A1B565D-A1A8-4087-A1EC-1A921A01F7E9}"/>
  </bookViews>
  <sheets>
    <sheet name="Tracker" sheetId="1" state="hidden" r:id="rId1"/>
    <sheet name="Flow" sheetId="3" state="hidden" r:id="rId2"/>
    <sheet name="Lists" sheetId="2" state="hidden" r:id="rId3"/>
    <sheet name="S&amp;G 2025" sheetId="62" state="hidden" r:id="rId4"/>
    <sheet name="S&amp;G Emp" sheetId="22" state="hidden" r:id="rId5"/>
    <sheet name="Diversity Employee Age Distribu" sheetId="6" state="hidden" r:id="rId6"/>
    <sheet name="H&amp;S Audits List Assets" sheetId="8" state="hidden" r:id="rId7"/>
    <sheet name="Contents" sheetId="11" r:id="rId8"/>
    <sheet name="1" sheetId="12" r:id="rId9"/>
    <sheet name="2" sheetId="36" r:id="rId10"/>
    <sheet name="3" sheetId="57" r:id="rId11"/>
    <sheet name="4" sheetId="58" r:id="rId12"/>
    <sheet name="5" sheetId="29" r:id="rId13"/>
    <sheet name="6" sheetId="59" r:id="rId14"/>
    <sheet name="7" sheetId="69" r:id="rId15"/>
    <sheet name="8" sheetId="20" r:id="rId16"/>
    <sheet name="9" sheetId="60" r:id="rId17"/>
    <sheet name="Areas " sheetId="43" state="hidden" r:id="rId18"/>
    <sheet name="2024 Asset list" sheetId="21" state="hidden" r:id="rId19"/>
    <sheet name="2025 VSME Data" sheetId="74" state="hidden" r:id="rId20"/>
    <sheet name="2025 GRESB" sheetId="72" state="hidden" r:id="rId21"/>
    <sheet name="Emissions 2025" sheetId="70" state="hidden" r:id="rId22"/>
    <sheet name="Emissions 2024" sheetId="42" state="hidden" r:id="rId23"/>
    <sheet name="Water 2024" sheetId="23" state="hidden" r:id="rId24"/>
    <sheet name="Waste 2024" sheetId="24" state="hidden" r:id="rId25"/>
    <sheet name="2025 Electricity (2)" sheetId="64" state="hidden" r:id="rId26"/>
    <sheet name="Gas 2024" sheetId="25" state="hidden" r:id="rId27"/>
    <sheet name="2024 GAS EUI estimates " sheetId="44" state="hidden" r:id="rId28"/>
    <sheet name="Gas Building Totals 2025" sheetId="67" state="hidden" r:id="rId29"/>
    <sheet name="2025 Raw Water" sheetId="68" state="hidden" r:id="rId30"/>
    <sheet name="Detail1" sheetId="73" state="hidden" r:id="rId31"/>
    <sheet name="All building EUI" sheetId="75" state="hidden" r:id="rId32"/>
    <sheet name="2025 Water Data Est." sheetId="66" state="hidden" r:id="rId33"/>
    <sheet name="2025 Asset list " sheetId="53" state="hidden" r:id="rId34"/>
    <sheet name="UPDATED WASTE DATA 2025" sheetId="65" state="hidden" r:id="rId35"/>
    <sheet name="Electricity 2024" sheetId="26" state="hidden" r:id="rId36"/>
    <sheet name="2024 IEA CO2e Conversion Factor" sheetId="41" state="hidden" r:id="rId37"/>
    <sheet name="Target EUI" sheetId="32" state="hidden" r:id="rId38"/>
    <sheet name="TCFD savings 2025" sheetId="35" state="hidden" r:id="rId39"/>
    <sheet name="Supplier Due Diligence" sheetId="48" state="hidden" r:id="rId40"/>
    <sheet name="List of H&amp;W initiatives 2025" sheetId="61" state="hidden" r:id="rId41"/>
    <sheet name="List of H&amp;W initiatives 2024" sheetId="46" state="hidden" r:id="rId42"/>
    <sheet name="GRESB 2024" sheetId="49" state="hidden"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xlnm._FilterDatabase" localSheetId="29" hidden="1">'2025 Raw Water'!$A$2:$K$1462</definedName>
    <definedName name="_xlnm._FilterDatabase" localSheetId="17" hidden="1">'Areas '!$B$3:$E$3</definedName>
    <definedName name="_xlnm._FilterDatabase" localSheetId="21" hidden="1">'Emissions 2025'!$J$57:$N$101</definedName>
    <definedName name="_xlnm._FilterDatabase" localSheetId="4" hidden="1">'S&amp;G Emp'!$A$10:$AN$51</definedName>
    <definedName name="_xlnm._FilterDatabase" localSheetId="0" hidden="1">Tracker!$A$1:$P$75</definedName>
    <definedName name="aaa">4</definedName>
    <definedName name="AmountOfWaterWithdrawnAtSitesLocatedInAreasOfHighWaterStress">'2025 VSME Data'!$D$207</definedName>
    <definedName name="AvgGrowthAdvEcon">[1]WEOApr2016alla!$BA$1943</definedName>
    <definedName name="Baseline_Year">[2]CP_1_US!$E$3</definedName>
    <definedName name="BasisForPreparation">'[3]General Information'!$E$122</definedName>
    <definedName name="Battery_Capacity_improvements_EU">[2]Calculations!$C$8</definedName>
    <definedName name="Battery_Capacity_improvements_US">[2]Calculations!$C$7</definedName>
    <definedName name="BE">#REF!</definedName>
    <definedName name="bel">#REF!</definedName>
    <definedName name="BEV_in_EV_fleetCars_Modest">[2]Scenarios!$I$10:$AF$10</definedName>
    <definedName name="BEV_in_EV_fleetCars_Optimistic">[2]Scenarios!$I$18:$AF$18</definedName>
    <definedName name="BEV_in_EV_fleetVans_Modest">[2]Scenarios!$I$11:$AF$11</definedName>
    <definedName name="BEV_in_EV_fleetVans_Optimistic">[2]Scenarios!$I$19:$AF$19</definedName>
    <definedName name="BEVcars_Target">[2]CP_1_US!$D$90</definedName>
    <definedName name="BEVvans_Target">[2]CP_1_US!$D$91</definedName>
    <definedName name="Buildingcerts">'[4]TB Download'!$B:$B</definedName>
    <definedName name="CAAGR_tolerance">200</definedName>
    <definedName name="CompanyName" localSheetId="33">'[5]TB Download'!$B:$B</definedName>
    <definedName name="CompanyName" localSheetId="29">'[4]TB Download'!$B:$B</definedName>
    <definedName name="CompanyName" localSheetId="19">'[6]TB Download'!$B:$B</definedName>
    <definedName name="CompanyName" localSheetId="32">'[4]TB Download'!$B:$B</definedName>
    <definedName name="CompanyName" localSheetId="14">'[4]TB Download'!$B:$B</definedName>
    <definedName name="CompanyName" localSheetId="37">#REF!</definedName>
    <definedName name="CompanyName" localSheetId="34">'[4]TB Download'!$B:$B</definedName>
    <definedName name="CompanyName">'[4]TB Download'!$B:$B</definedName>
    <definedName name="ddd" localSheetId="33">[7]BalanceSheet!$AD:$AD</definedName>
    <definedName name="ddd" localSheetId="29">[8]BalanceSheet!$AD:$AD</definedName>
    <definedName name="ddd" localSheetId="19">[9]BalanceSheet!$AD:$AD</definedName>
    <definedName name="ddd" localSheetId="32">[8]BalanceSheet!$AD:$AD</definedName>
    <definedName name="ddd" localSheetId="14">[8]BalanceSheet!$AD:$AD</definedName>
    <definedName name="ddd" localSheetId="37">#REF!</definedName>
    <definedName name="ddd" localSheetId="34">[8]BalanceSheet!$AD:$AD</definedName>
    <definedName name="ddd">[8]BalanceSheet!$AD:$AD</definedName>
    <definedName name="dddd" localSheetId="33">[7]BalanceSheet!$D:$D</definedName>
    <definedName name="dddd" localSheetId="29">[8]BalanceSheet!$D:$D</definedName>
    <definedName name="dddd" localSheetId="19">[9]BalanceSheet!$D:$D</definedName>
    <definedName name="dddd" localSheetId="32">[8]BalanceSheet!$D:$D</definedName>
    <definedName name="dddd" localSheetId="14">[8]BalanceSheet!$D:$D</definedName>
    <definedName name="dddd" localSheetId="37">#REF!</definedName>
    <definedName name="dddd" localSheetId="34">[8]BalanceSheet!$D:$D</definedName>
    <definedName name="dddd">[8]BalanceSheet!$D:$D</definedName>
    <definedName name="ddddd" localSheetId="33">[7]Control!$C$13</definedName>
    <definedName name="ddddd" localSheetId="29">[8]Control!$C$13</definedName>
    <definedName name="ddddd" localSheetId="19">[9]Control!$C$13</definedName>
    <definedName name="ddddd" localSheetId="32">[8]Control!$C$13</definedName>
    <definedName name="ddddd" localSheetId="14">[8]Control!$C$13</definedName>
    <definedName name="ddddd" localSheetId="37">#REF!</definedName>
    <definedName name="ddddd" localSheetId="34">[8]Control!$C$13</definedName>
    <definedName name="ddddd">[8]Control!$C$13</definedName>
    <definedName name="dddddd" localSheetId="33">[7]BalanceSheet!$AA:$AA</definedName>
    <definedName name="dddddd" localSheetId="29">[8]BalanceSheet!$AA:$AA</definedName>
    <definedName name="dddddd" localSheetId="19">[9]BalanceSheet!$AA:$AA</definedName>
    <definedName name="dddddd" localSheetId="32">[8]BalanceSheet!$AA:$AA</definedName>
    <definedName name="dddddd" localSheetId="14">[8]BalanceSheet!$AA:$AA</definedName>
    <definedName name="dddddd" localSheetId="37">#REF!</definedName>
    <definedName name="dddddd" localSheetId="34">[8]BalanceSheet!$AA:$AA</definedName>
    <definedName name="dddddd">[8]BalanceSheet!$AA:$AA</definedName>
    <definedName name="DescriptionOfATransitionPlanForClimateChangeMitigationIncludingAnExplanationOfHowItIsContributingToReduceGhgEmissions">'2025 VSME Data'!#REF!</definedName>
    <definedName name="dsg">#REF!</definedName>
    <definedName name="ee" localSheetId="33">[7]BalanceSheet!$AD:$AD</definedName>
    <definedName name="ee" localSheetId="29">[8]BalanceSheet!$AD:$AD</definedName>
    <definedName name="ee" localSheetId="19">[9]BalanceSheet!$AD:$AD</definedName>
    <definedName name="ee" localSheetId="32">[8]BalanceSheet!$AD:$AD</definedName>
    <definedName name="ee" localSheetId="14">[8]BalanceSheet!$AD:$AD</definedName>
    <definedName name="ee" localSheetId="37">#REF!</definedName>
    <definedName name="ee" localSheetId="34">[8]BalanceSheet!$AD:$AD</definedName>
    <definedName name="ee">[8]BalanceSheet!$AD:$AD</definedName>
    <definedName name="eee" localSheetId="33">[7]BalanceSheet!$D:$D</definedName>
    <definedName name="eee" localSheetId="29">[8]BalanceSheet!$D:$D</definedName>
    <definedName name="eee" localSheetId="19">[9]BalanceSheet!$D:$D</definedName>
    <definedName name="eee" localSheetId="32">[8]BalanceSheet!$D:$D</definedName>
    <definedName name="eee" localSheetId="14">[8]BalanceSheet!$D:$D</definedName>
    <definedName name="eee" localSheetId="37">#REF!</definedName>
    <definedName name="eee" localSheetId="34">[8]BalanceSheet!$D:$D</definedName>
    <definedName name="eee">[8]BalanceSheet!$D:$D</definedName>
    <definedName name="eeee" localSheetId="33">[7]Control!$C$13</definedName>
    <definedName name="eeee" localSheetId="29">[8]Control!$C$13</definedName>
    <definedName name="eeee" localSheetId="19">[9]Control!$C$13</definedName>
    <definedName name="eeee" localSheetId="32">[8]Control!$C$13</definedName>
    <definedName name="eeee" localSheetId="14">[8]Control!$C$13</definedName>
    <definedName name="eeee" localSheetId="37">#REF!</definedName>
    <definedName name="eeee" localSheetId="34">[8]Control!$C$13</definedName>
    <definedName name="eeee">[8]Control!$C$13</definedName>
    <definedName name="eeeee" localSheetId="33">[7]BalanceSheet!$AA:$AA</definedName>
    <definedName name="eeeee" localSheetId="29">[8]BalanceSheet!$AA:$AA</definedName>
    <definedName name="eeeee" localSheetId="19">[9]BalanceSheet!$AA:$AA</definedName>
    <definedName name="eeeee" localSheetId="32">[8]BalanceSheet!$AA:$AA</definedName>
    <definedName name="eeeee" localSheetId="14">[8]BalanceSheet!$AA:$AA</definedName>
    <definedName name="eeeee" localSheetId="37">#REF!</definedName>
    <definedName name="eeeee" localSheetId="34">[8]BalanceSheet!$AA:$AA</definedName>
    <definedName name="eeeee">[8]BalanceSheet!$AA:$AA</definedName>
    <definedName name="ElectricTotals" localSheetId="33">'[10]Combined  all'!$E$6:$T$10</definedName>
    <definedName name="ElectricTotals" localSheetId="29">'[11]Combined  all'!$E$6:$T$10</definedName>
    <definedName name="ElectricTotals" localSheetId="19">'[12]Combined  all'!$E$6:$T$10</definedName>
    <definedName name="ElectricTotals" localSheetId="32">'[11]Combined  all'!$E$6:$T$10</definedName>
    <definedName name="ElectricTotals" localSheetId="14">'[11]Combined  all'!$E$6:$T$10</definedName>
    <definedName name="ElectricTotals" localSheetId="37">#REF!</definedName>
    <definedName name="ElectricTotals" localSheetId="34">'[11]Combined  all'!$E$6:$T$10</definedName>
    <definedName name="ElectricTotals">'[11]Combined  all'!$E$6:$T$10</definedName>
    <definedName name="Emission_Intensity_tCO2e_Cars">[2]Calculations!$C$11</definedName>
    <definedName name="Emission_Intensity_tCO2e_Mixed">[2]Calculations!$C$13</definedName>
    <definedName name="Emission_Intensity_tCO2e_Vans">[2]Calculations!$C$12</definedName>
    <definedName name="Entitiy">[2]CP_1_US!$D$87</definedName>
    <definedName name="EV__LASTREFTIME__" hidden="1">41562.6784259259</definedName>
    <definedName name="EV100_commitment__100__EV">[13]Lists!$B$3</definedName>
    <definedName name="EV100_Target_Date">[14]CP_1_US!$D$89</definedName>
    <definedName name="Fleet_EV_Target">[14]Lists!$B$4</definedName>
    <definedName name="Fleet_EV_Target_Date">[14]CP_1_US!$F$94</definedName>
    <definedName name="GasTotal" localSheetId="33">'[10]Combined  all'!$Y$6:$AN$10</definedName>
    <definedName name="GasTotal" localSheetId="29">'[11]Combined  all'!$Y$6:$AN$10</definedName>
    <definedName name="GasTotal" localSheetId="19">'[12]Combined  all'!$Y$6:$AN$10</definedName>
    <definedName name="GasTotal" localSheetId="32">'[11]Combined  all'!$Y$6:$AN$10</definedName>
    <definedName name="GasTotal" localSheetId="14">'[11]Combined  all'!$Y$6:$AN$10</definedName>
    <definedName name="GasTotal" localSheetId="37">#REF!</definedName>
    <definedName name="GasTotal" localSheetId="34">'[11]Combined  all'!$Y$6:$AN$10</definedName>
    <definedName name="GasTotal">'[11]Combined  all'!$Y$6:$AN$10</definedName>
    <definedName name="GetBSGLNo" localSheetId="33">[15]BalanceSheet!$AA:$AA</definedName>
    <definedName name="GetBSGLNo" localSheetId="29">[16]BalanceSheet!$AA:$AA</definedName>
    <definedName name="GetBSGLNo" localSheetId="19">[17]BalanceSheet!$AA:$AA</definedName>
    <definedName name="GetBSGLNo" localSheetId="32">[16]BalanceSheet!$AA:$AA</definedName>
    <definedName name="GetBSGLNo" localSheetId="14">[16]BalanceSheet!$AA:$AA</definedName>
    <definedName name="GetBSGLNo" localSheetId="37">#REF!</definedName>
    <definedName name="GetBSGLNo" localSheetId="34">[16]BalanceSheet!$AA:$AA</definedName>
    <definedName name="GetBSGLNo">[16]BalanceSheet!$AA:$AA</definedName>
    <definedName name="GetBSPeriodno" localSheetId="33">[15]BalanceSheet!$D:$D</definedName>
    <definedName name="GetBSPeriodno" localSheetId="29">[16]BalanceSheet!$D:$D</definedName>
    <definedName name="GetBSPeriodno" localSheetId="19">[17]BalanceSheet!$D:$D</definedName>
    <definedName name="GetBSPeriodno" localSheetId="32">[16]BalanceSheet!$D:$D</definedName>
    <definedName name="GetBSPeriodno" localSheetId="14">[16]BalanceSheet!$D:$D</definedName>
    <definedName name="GetBSPeriodno" localSheetId="37">#REF!</definedName>
    <definedName name="GetBSPeriodno" localSheetId="34">[16]BalanceSheet!$D:$D</definedName>
    <definedName name="GetBSPeriodno">[16]BalanceSheet!$D:$D</definedName>
    <definedName name="GetBSSubCatNo" localSheetId="33">'[5]TB Download'!$E:$E</definedName>
    <definedName name="GetBSSubCatNo" localSheetId="29">'[4]TB Download'!$E:$E</definedName>
    <definedName name="GetBSSubCatNo" localSheetId="19">'[6]TB Download'!$E:$E</definedName>
    <definedName name="GetBSSubCatNo" localSheetId="32">'[4]TB Download'!$E:$E</definedName>
    <definedName name="GetBSSubCatNo" localSheetId="14">'[4]TB Download'!$E:$E</definedName>
    <definedName name="GetBSSubCatNo" localSheetId="37">#REF!</definedName>
    <definedName name="GetBSSubCatNo" localSheetId="34">'[4]TB Download'!$E:$E</definedName>
    <definedName name="GetBSSubCatNo">'[4]TB Download'!$E:$E</definedName>
    <definedName name="GetBSYTF" localSheetId="33">[15]BalanceSheet!$AD:$AD</definedName>
    <definedName name="GetBSYTF" localSheetId="29">[16]BalanceSheet!$AD:$AD</definedName>
    <definedName name="GetBSYTF" localSheetId="19">[17]BalanceSheet!$AD:$AD</definedName>
    <definedName name="GetBSYTF" localSheetId="32">[16]BalanceSheet!$AD:$AD</definedName>
    <definedName name="GetBSYTF" localSheetId="14">[16]BalanceSheet!$AD:$AD</definedName>
    <definedName name="GetBSYTF" localSheetId="37">#REF!</definedName>
    <definedName name="GetBSYTF" localSheetId="34">[16]BalanceSheet!$AD:$AD</definedName>
    <definedName name="GetBSYTF">[16]BalanceSheet!$AD:$AD</definedName>
    <definedName name="GetGLCatNo" localSheetId="33">'[5]TB Download'!$C:$C</definedName>
    <definedName name="GetGLCatNo" localSheetId="29">'[4]TB Download'!$C:$C</definedName>
    <definedName name="GetGLCatNo" localSheetId="19">'[6]TB Download'!$C:$C</definedName>
    <definedName name="GetGLCatNo" localSheetId="32">'[4]TB Download'!$C:$C</definedName>
    <definedName name="GetGLCatNo" localSheetId="14">'[4]TB Download'!$C:$C</definedName>
    <definedName name="GetGLCatNo" localSheetId="37">#REF!</definedName>
    <definedName name="GetGLCatNo" localSheetId="34">'[4]TB Download'!$C:$C</definedName>
    <definedName name="GetGLCatNo">'[4]TB Download'!$C:$C</definedName>
    <definedName name="GetYTD" localSheetId="33">'[18]P+L Download'!$AD:$AD</definedName>
    <definedName name="GetYTD" localSheetId="29">'[19]P+L Download'!$AD:$AD</definedName>
    <definedName name="GetYTD" localSheetId="19">'[20]P+L Download'!$AD:$AD</definedName>
    <definedName name="GetYTD" localSheetId="32">'[19]P+L Download'!$AD:$AD</definedName>
    <definedName name="GetYTD" localSheetId="14">'[19]P+L Download'!$AD:$AD</definedName>
    <definedName name="GetYTD" localSheetId="37">#REF!</definedName>
    <definedName name="GetYTD" localSheetId="34">'[19]P+L Download'!$AD:$AD</definedName>
    <definedName name="GetYTD">'[19]P+L Download'!$AD:$AD</definedName>
    <definedName name="GetYTDCredit" localSheetId="33">'[5]TB Download'!$M:$M</definedName>
    <definedName name="GetYTDCredit" localSheetId="29">'[4]TB Download'!$M:$M</definedName>
    <definedName name="GetYTDCredit" localSheetId="19">'[6]TB Download'!$M:$M</definedName>
    <definedName name="GetYTDCredit" localSheetId="32">'[4]TB Download'!$M:$M</definedName>
    <definedName name="GetYTDCredit" localSheetId="14">'[4]TB Download'!$M:$M</definedName>
    <definedName name="GetYTDCredit" localSheetId="37">#REF!</definedName>
    <definedName name="GetYTDCredit" localSheetId="34">'[4]TB Download'!$M:$M</definedName>
    <definedName name="GetYTDCredit">'[4]TB Download'!$M:$M</definedName>
    <definedName name="GetYTDdEBIT" localSheetId="33">'[5]TB Download'!$L:$L</definedName>
    <definedName name="GetYTDdEBIT" localSheetId="29">'[4]TB Download'!$L:$L</definedName>
    <definedName name="GetYTDdEBIT" localSheetId="19">'[6]TB Download'!$L:$L</definedName>
    <definedName name="GetYTDdEBIT" localSheetId="32">'[4]TB Download'!$L:$L</definedName>
    <definedName name="GetYTDdEBIT" localSheetId="14">'[4]TB Download'!$L:$L</definedName>
    <definedName name="GetYTDdEBIT" localSheetId="37">#REF!</definedName>
    <definedName name="GetYTDdEBIT" localSheetId="34">'[4]TB Download'!$L:$L</definedName>
    <definedName name="GetYTDdEBIT">'[4]TB Download'!$L:$L</definedName>
    <definedName name="GLCode" localSheetId="33">'[5]TB Download'!$G:$G</definedName>
    <definedName name="GLCode" localSheetId="29">'[4]TB Download'!$G:$G</definedName>
    <definedName name="GLCode" localSheetId="19">'[6]TB Download'!$G:$G</definedName>
    <definedName name="GLCode" localSheetId="32">'[4]TB Download'!$G:$G</definedName>
    <definedName name="GLCode" localSheetId="14">'[4]TB Download'!$G:$G</definedName>
    <definedName name="GLCode" localSheetId="37">#REF!</definedName>
    <definedName name="GLCode" localSheetId="34">'[4]TB Download'!$G:$G</definedName>
    <definedName name="GLCode">'[4]TB Download'!$G:$G</definedName>
    <definedName name="Global_pcnt_EV_Modest">[2]Scenarios!$I$9:$AF$9</definedName>
    <definedName name="Global_pcnt_EV_Optimistic">[2]Scenarios!$I$17:$AF$17</definedName>
    <definedName name="ICE_Fuel_Efficiency_Improvements_Cars">[2]Calculations!$C$3</definedName>
    <definedName name="ICE_Fuel_Efficiency_Improvements_Vans">[2]Calculations!$C$4</definedName>
    <definedName name="Impact_flag">#REF!</definedName>
    <definedName name="ImportRange">#REF!</definedName>
    <definedName name="Index">#REF!</definedName>
    <definedName name="IndexArray">#REF!</definedName>
    <definedName name="Internal_Policy_Scenario">[14]CP_1_US!$D$88</definedName>
    <definedName name="Lag_time">[2]CP_1_US!$D$96</definedName>
    <definedName name="LatestChange">#REF!</definedName>
    <definedName name="LatestPerson">#REF!</definedName>
    <definedName name="LatestVersion">#REF!</definedName>
    <definedName name="ListOfSitesTable">'[3]General Information'!$C$404:$H$503</definedName>
    <definedName name="Market_Scenario">[2]CP_1_US!$D$95</definedName>
    <definedName name="Master_Lag_Time">[2]SUMMARY!$C$117</definedName>
    <definedName name="Materials">[21]Instructions!$J$30:$J$42</definedName>
    <definedName name="Miles_per_kWh_cars">[2]Calculations!$C$9</definedName>
    <definedName name="Miles_per_kWh_vans">[2]Calculations!$C$10</definedName>
    <definedName name="ModelName">#REF!</definedName>
    <definedName name="Modest">[2]Lists!$C$3</definedName>
    <definedName name="myCurrentRegion">#REF!</definedName>
    <definedName name="myCurrentRegionSource">#REF!</definedName>
    <definedName name="No_formal_policy">[2]Lists!$B$5</definedName>
    <definedName name="Offices">#REF!</definedName>
    <definedName name="Optimistic">[2]Lists!$C$4</definedName>
    <definedName name="Out_of_Scope_AM">'[2]Baseline Summary'!$E$41</definedName>
    <definedName name="Out_of_Scope_APAC">'[2]Baseline Summary'!$E$42</definedName>
    <definedName name="Out_of_Scope_EMEA">'[2]Baseline Summary'!$E$43</definedName>
    <definedName name="pcnt_Fleet_EV_Target">[2]CP_1_US!$D$94</definedName>
    <definedName name="PHEV_electric_only_target">[2]CP_1_US!$D$92</definedName>
    <definedName name="PHEV_electric_only_typical">[14]Calculations!$C$6</definedName>
    <definedName name="_xlnm.Print_Titles" localSheetId="22">'Emissions 2024'!$1:$9</definedName>
    <definedName name="PubliclyAvailableDisclosure">'2025 VSME Data'!#REF!</definedName>
    <definedName name="Quality_flag">#REF!</definedName>
    <definedName name="RECs_reductions">[2]SUMMARY!$F$101</definedName>
    <definedName name="ReportingPeriod" localSheetId="33">[15]Control!$C$13</definedName>
    <definedName name="ReportingPeriod" localSheetId="29">[16]Control!$C$13</definedName>
    <definedName name="ReportingPeriod" localSheetId="19">[17]Control!$C$13</definedName>
    <definedName name="ReportingPeriod" localSheetId="32">[16]Control!$C$13</definedName>
    <definedName name="ReportingPeriod" localSheetId="14">[16]Control!$C$13</definedName>
    <definedName name="ReportingPeriod" localSheetId="37">#REF!</definedName>
    <definedName name="ReportingPeriod" localSheetId="34">[16]Control!$C$13</definedName>
    <definedName name="ReportingPeriod">[16]Control!$C$13</definedName>
    <definedName name="Risk_flag">#REF!</definedName>
    <definedName name="RoundFactorLong">4</definedName>
    <definedName name="RoundFactorMed">3</definedName>
    <definedName name="RoundFactorShort">3</definedName>
    <definedName name="SmallestNonZeroValue">0.00001</definedName>
    <definedName name="Status_Checking">#REF!</definedName>
    <definedName name="Status_Overall">#REF!</definedName>
    <definedName name="Status_Update">#REF!</definedName>
    <definedName name="Summer">#REF!</definedName>
    <definedName name="Summer1">#REF!</definedName>
    <definedName name="SumTolerance">0.005</definedName>
    <definedName name="Sustain">[2]CP_1_US!$D$93</definedName>
    <definedName name="t_Yearsto2050">'[1]3.2 C-FACT Model'!$I$26</definedName>
    <definedName name="Team">#REF!</definedName>
    <definedName name="template_ending_date_display">'[3]Technical Sheet'!$B$3</definedName>
    <definedName name="template_label_1_purchased_goods_and_services">[3]Translations!$B$198</definedName>
    <definedName name="template_label_10_processing_of_sold_products">[3]Translations!$B$207</definedName>
    <definedName name="template_label_11_use_of_sold_products">[3]Translations!$B$208</definedName>
    <definedName name="template_label_12_end_of_life_treatment_of_sold_products">[3]Translations!$B$209</definedName>
    <definedName name="template_label_13_downstream_leased_assets">[3]Translations!$B$210</definedName>
    <definedName name="template_label_14_franchises">[3]Translations!$B$211</definedName>
    <definedName name="template_label_15_investments">[3]Translations!$B$212</definedName>
    <definedName name="template_label_2_capital_goods">[3]Translations!$B$199</definedName>
    <definedName name="template_label_3_fuel__and_energy_related_activities">[3]Translations!$B$200</definedName>
    <definedName name="template_label_4_upstream_transportation_and_distribution">[3]Translations!$B$201</definedName>
    <definedName name="template_label_5_waste_generated_in_operations">[3]Translations!$B$202</definedName>
    <definedName name="template_label_6_business_travel">[3]Translations!$B$203</definedName>
    <definedName name="template_label_7_employee_commuting">[3]Translations!$B$204</definedName>
    <definedName name="template_label_8_upstream_leased_assets">[3]Translations!$B$205</definedName>
    <definedName name="template_label_9_downstream_transportation_and_distribution">[3]Translations!$B$206</definedName>
    <definedName name="template_label_additional_rows_warning">[3]Translations!$B$456</definedName>
    <definedName name="template_label_always_to_be_reported">[3]Translations!$B$93</definedName>
    <definedName name="template_label_amount_of_water_withdrawn_at_sites_located_in_areas_of_high_water_stress">[3]Translations!$B$257</definedName>
    <definedName name="template_label_area">[3]Translations!$B$250</definedName>
    <definedName name="template_label_area_hectares_or_m2">[3]Translations!$B$245</definedName>
    <definedName name="template_label_b3_breakdown_of_energy_consumption">[3]Translations!$B$176</definedName>
    <definedName name="template_label_b3_estimated_greenhouse_gas_emissions">[3]Translations!$B$184</definedName>
    <definedName name="template_label_b3_greenhouse_gas_emission_intensity_per_turnover">[3]Translations!$B$225</definedName>
    <definedName name="template_label_b4_pollution_of_air_water_and_soil">[3]Translations!$B$230</definedName>
    <definedName name="template_label_b5_biodiversity_land_use">[3]Translations!$B$248</definedName>
    <definedName name="template_label_b5_sites_in_biodiversity_sensitive_areas">[3]Translations!$B$240</definedName>
    <definedName name="template_label_b6_water_consumption">[3]Translations!$B$258</definedName>
    <definedName name="template_label_b6_water_withdrawal">[3]Translations!$B$255</definedName>
    <definedName name="template_label_b7_annual_mass_flow_of_relevant_materials_used">[3]Translations!$B$279</definedName>
    <definedName name="template_label_b7_description_of_circular_economy_principles">[3]Translations!$B$262</definedName>
    <definedName name="template_label_b7_waste_generated">[3]Translations!$B$265</definedName>
    <definedName name="template_label_base_year">[3]Translations!$B$188</definedName>
    <definedName name="template_label_c3_disclosure_of_list_of_main_actions_the_entity_seeks_in_order_to_achieve_its_targets">[3]Translations!$B$216</definedName>
    <definedName name="template_label_c3_ghg_reduction_targets">[3]Translations!$B$185</definedName>
    <definedName name="template_label_c3_transition_plan_for_undertakings_operating_in_high_climate_impact_sectors">[3]Translations!$B$217</definedName>
    <definedName name="template_label_c4_climate_risks">[3]Translations!$B$286</definedName>
    <definedName name="template_label_cubic_meters">[3]Translations!$B$276</definedName>
    <definedName name="template_label_current_reporting_period">[3]Translations!$B$187</definedName>
    <definedName name="template_label_date_of_foreseen_adoption_of_transition_plan_for_undertaking_not_having_adopted_transition_plan_yet">[3]Translations!$B$221</definedName>
    <definedName name="template_label_day">[3]Translations!$B$224</definedName>
    <definedName name="template_label_description_of_a_transition_plan_for_climate_change_mitigation">[3]Translations!$B$220</definedName>
    <definedName name="template_label_description_of_climate_related_hazards_and_climate_related_transition_events">[3]Translations!$B$288</definedName>
    <definedName name="template_label_description_of_how_it_applies_these_principles">[3]Translations!$B$264</definedName>
    <definedName name="template_label_disclosure_of_any_other_environmental_and_or_entity_specific_environmental_disclosures">[3]Translations!$B$293</definedName>
    <definedName name="template_label_disclosure_of_how_it_has_assessed_the_exposure_and_sensitivity_of_its_assets">[3]Translations!$B$289</definedName>
    <definedName name="template_label_disclosure_of_whether_it_has_undertaken_climate_change_adaptation_actions">[3]Translations!$B$291</definedName>
    <definedName name="template_label_does_the_undertaking_have_production_processes_in_place_which_significantly_consume_water">[3]Translations!$B$259</definedName>
    <definedName name="template_label_does_the_undertaking_have_sites_that_are_located_in_or_near_biodiversity_sensitive_areas">[3]Translations!$B$241</definedName>
    <definedName name="template_label_does_the_undertaking_operate_in_a_sector_using_significant_material_flows">[3]Translations!$B$280</definedName>
    <definedName name="template_label_electricity">[3]Translations!$B$181</definedName>
    <definedName name="template_label_emission_to_air">[3]Translations!$B$237</definedName>
    <definedName name="template_label_emission_to_soil">[3]Translations!$B$239</definedName>
    <definedName name="template_label_emission_to_water">[3]Translations!$B$238</definedName>
    <definedName name="template_label_error">[3]Translations!$B$442</definedName>
    <definedName name="template_label_from">[3]Translations!$B$90</definedName>
    <definedName name="template_label_fuels">[3]Translations!$B$183</definedName>
    <definedName name="template_label_gross_scope_1_ghg_emissions">[3]Translations!$B$192</definedName>
    <definedName name="template_label_gross_scope_2_location_based_ghg_emissions">[3]Translations!$B$193</definedName>
    <definedName name="template_label_gross_scope_2_market_based_ghg_emissions">[3]Translations!$B$194</definedName>
    <definedName name="template_label_has_the_undertaking_has_established_ghg_emission_reduction_targets">[3]Translations!$B$186</definedName>
    <definedName name="template_label_has_the_undertaking_identified_climate_related_hazards_and_climate_related_transition_events">[3]Translations!$B$287</definedName>
    <definedName name="template_label_has_the_undertaking_obtained_the_necessary_information_to_provide_an_energy_consumption_breakdown">[3]Translations!$B$177</definedName>
    <definedName name="template_label_if_applicable">[3]Translations!$B$94</definedName>
    <definedName name="template_label_invalid_url">[3]Translations!$B$448</definedName>
    <definedName name="template_label_is_the_undertaking_disclosing_entity_specific_information_on_scope_3_emissions">[3]Translations!$B$197</definedName>
    <definedName name="template_label_is_the_undertaking_operating_in_high_impact_sectors">[3]Translations!$B$218</definedName>
    <definedName name="template_label_is_this_disclosure_already_publicly_available">[3]Translations!$B$232</definedName>
    <definedName name="template_label_kilograms">[3]Translations!$B$284</definedName>
    <definedName name="template_label_land_use_type">[3]Translations!$B$249</definedName>
    <definedName name="template_label_mass_volume">[3]Translations!$B$282</definedName>
    <definedName name="template_label_may">[3]Translations!$B$95</definedName>
    <definedName name="template_label_may_not_headline">[3]Translations!$B$96</definedName>
    <definedName name="template_label_missing_value">[3]Translations!$B$441</definedName>
    <definedName name="template_label_month">[3]Translations!$B$223</definedName>
    <definedName name="template_label_name_of_the_key_material">[3]Translations!$B$281</definedName>
    <definedName name="template_label_non_renewable">[3]Translations!$B$179</definedName>
    <definedName name="template_label_ok">[3]Translations!$B$449</definedName>
    <definedName name="template_label_percentage_reduction_from_base_year">[3]Translations!$B$190</definedName>
    <definedName name="template_label_please_provide_the_relevant_url_link_or_hyperlink_of_where_this_information_is_reported">[3]Translations!$B$233</definedName>
    <definedName name="template_label_please_select_the_unit_used_for_reporting_the_amount">[3]Translations!$B$234</definedName>
    <definedName name="template_label_please_select_the_unit_used_for_the_area">[3]Translations!$B$242</definedName>
    <definedName name="template_label_pollutant">[3]Translations!$B$236</definedName>
    <definedName name="template_label_potential_adverse_effects_of_climate_risks">[3]Translations!$B$292</definedName>
    <definedName name="template_label_related_site_id">[3]Translations!$B$243</definedName>
    <definedName name="template_label_renewable">[3]Translations!$B$178</definedName>
    <definedName name="template_label_required_by_law_or_other_national_regulations_to_report_to_competent_authorities_its_emissions_of_pollutants">[3]Translations!$B$231</definedName>
    <definedName name="template_label_row_id">[3]Translations!$B$235</definedName>
    <definedName name="template_label_scope_1_and_scope_2_ghg_emissions_intensity_location_based">[3]Translations!$B$226</definedName>
    <definedName name="template_label_scope_1_and_scope_2_ghg_emissions_intensity_market_based">[3]Translations!$B$227</definedName>
    <definedName name="template_label_selfgenerated_electricity">[3]Translations!$B$182</definedName>
    <definedName name="template_label_site_located_in_a_biodiversity_sensitive_area">[3]Translations!$B$246</definedName>
    <definedName name="template_label_site_located_near_a_biodiversity_sensitive_area">[3]Translations!$B$247</definedName>
    <definedName name="template_label_site_location_in_near_a_biodiversity_area">[3]Translations!$B$244</definedName>
    <definedName name="template_label_status_of_implementation_of_a_transition_plan_in_relation_to_climate_change_mitigation">[3]Translations!$B$219</definedName>
    <definedName name="template_label_target_year">[3]Translations!$B$189</definedName>
    <definedName name="template_label_time_horizons_of_any_climate_related_hazards_and_transition_events_identified">[3]Translations!$B$290</definedName>
    <definedName name="template_label_to">[3]Translations!$B$91</definedName>
    <definedName name="template_label_total_amount_of_waste_generated">[3]Translations!$B$272</definedName>
    <definedName name="template_label_total_amount_of_water_withdrawn_from_all_sites">[3]Translations!$B$256</definedName>
    <definedName name="template_label_total_annual_mass_flow_of_relevant_materials_used_mass">[3]Translations!$B$283</definedName>
    <definedName name="template_label_total_annual_mass_flow_of_relevant_materials_used_volume">[3]Translations!$B$285</definedName>
    <definedName name="template_label_total_energy_consumption">[3]Translations!$B$175</definedName>
    <definedName name="template_label_total_hazardous_waste_generated_mass">[3]Translations!$B$271</definedName>
    <definedName name="template_label_total_hazardous_waste_generated_volume">[3]Translations!$B$275</definedName>
    <definedName name="template_label_total_nature_oriented_area_off_site">[3]Translations!$B$253</definedName>
    <definedName name="template_label_total_nature_oriented_area_on_site">[3]Translations!$B$252</definedName>
    <definedName name="template_label_total_non_hazardous_waste_generated_mass">[3]Translations!$B$273</definedName>
    <definedName name="template_label_total_non_hazardous_waste_generated_volume">[3]Translations!$B$277</definedName>
    <definedName name="template_label_total_renewable_and_nonrenewable">[3]Translations!$B$180</definedName>
    <definedName name="template_label_total_scope_1_and_scope_2_ghg_emissions_location_based">[3]Translations!$B$195</definedName>
    <definedName name="template_label_total_scope_1_and_scope_2_ghg_emissions_market_based">[3]Translations!$B$196</definedName>
    <definedName name="template_label_total_scope_1_scope_2_and_scope_3_ghg_emissions_intensity_location_based">[3]Translations!$B$228</definedName>
    <definedName name="template_label_total_scope_1_scope_2_and_scope_3_ghg_emissions_intensity_market_based">[3]Translations!$B$229</definedName>
    <definedName name="template_label_total_scope_1_scope_2_and_scope_3_ghg_emissions_location_based">[3]Translations!$B$214</definedName>
    <definedName name="template_label_total_scope_1_scope_2_and_scope_3_ghg_emissions_market_based">[3]Translations!$B$215</definedName>
    <definedName name="template_label_total_scope_3_ghg_emissions">[3]Translations!$B$213</definedName>
    <definedName name="template_label_total_sealed_area">[3]Translations!$B$251</definedName>
    <definedName name="template_label_total_use_of_land">[3]Translations!$B$254</definedName>
    <definedName name="template_label_total_waste_generated_mass">[3]Translations!$B$274</definedName>
    <definedName name="template_label_total_waste_generated_volume">[3]Translations!$B$278</definedName>
    <definedName name="template_label_total_waste_recycled_reused_and_directed_to_disposal">[3]Translations!$B$270</definedName>
    <definedName name="template_label_total_water_consumption">[3]Translations!$B$261</definedName>
    <definedName name="template_label_type_of_waste">[3]Translations!$B$266</definedName>
    <definedName name="template_label_undertaking_applies_circular_economy_principles">[3]Translations!$B$263</definedName>
    <definedName name="template_label_unit_of_measurement">[3]Translations!$B$267</definedName>
    <definedName name="template_label_value_inconsistency">[3]Translations!$B$443</definedName>
    <definedName name="template_label_waste_directed_to_disposal">[3]Translations!$B$269</definedName>
    <definedName name="template_label_waste_diverted_to_recycle_or_reuse">[3]Translations!$B$268</definedName>
    <definedName name="template_label_water_discharge_from_undertaking_production_processes">[3]Translations!$B$260</definedName>
    <definedName name="template_label_year">[3]Translations!$B$222</definedName>
    <definedName name="template_label_year_date">[3]Translations!$B$191</definedName>
    <definedName name="template_starting_date_display">'[3]Technical Sheet'!$B$2</definedName>
    <definedName name="TotalAmountOfWaterWithdrawnFromAllSites">'2025 VSME Data'!$D$206</definedName>
    <definedName name="TotalEnergyConsumption">'2025 VSME Data'!#REF!</definedName>
    <definedName name="TSeg">#REF!</definedName>
    <definedName name="TSEG1">#REF!</definedName>
    <definedName name="TSEG2">#REF!</definedName>
    <definedName name="TSEG3">#REF!</definedName>
    <definedName name="TSEG4">#REF!</definedName>
    <definedName name="TSEG5">#REF!</definedName>
    <definedName name="Turnover">'[3]General Information'!$E$281</definedName>
    <definedName name="UndertakingAppliesCircularEconomyPrinciples">'2025 VSME Data'!$D$219</definedName>
    <definedName name="UOM">[21]Instructions!$J$22:$J$27</definedName>
    <definedName name="UpdateYear">[22]Introduction!$E$6</definedName>
    <definedName name="Waste">[21]Instructions!$J$45:$J$51</definedName>
    <definedName name="WasteTotal" localSheetId="33">'[10]Combined  all'!$BW$6:$CK$22</definedName>
    <definedName name="WasteTotal" localSheetId="29">'[11]Combined  all'!$BW$6:$CK$22</definedName>
    <definedName name="WasteTotal" localSheetId="19">'[12]Combined  all'!$BW$6:$CK$22</definedName>
    <definedName name="WasteTotal" localSheetId="32">'[11]Combined  all'!$BW$6:$CK$22</definedName>
    <definedName name="WasteTotal" localSheetId="14">'[11]Combined  all'!$BW$6:$CK$22</definedName>
    <definedName name="WasteTotal" localSheetId="37">#REF!</definedName>
    <definedName name="WasteTotal" localSheetId="34">'[11]Combined  all'!$BW$6:$CK$22</definedName>
    <definedName name="WasteTotal">'[11]Combined  all'!$BW$6:$CK$22</definedName>
    <definedName name="WaterTotal" localSheetId="33">'[10]Combined  all'!$BE$6:$BU$10</definedName>
    <definedName name="WaterTotal" localSheetId="29">'[11]Combined  all'!$BE$6:$BU$10</definedName>
    <definedName name="WaterTotal" localSheetId="19">'[12]Combined  all'!$BE$6:$BU$10</definedName>
    <definedName name="WaterTotal" localSheetId="32">'[11]Combined  all'!$BE$6:$BU$10</definedName>
    <definedName name="WaterTotal" localSheetId="14">'[11]Combined  all'!$BE$6:$BU$10</definedName>
    <definedName name="WaterTotal" localSheetId="37">#REF!</definedName>
    <definedName name="WaterTotal" localSheetId="34">'[11]Combined  all'!$BE$6:$BU$10</definedName>
    <definedName name="WaterTotal">'[11]Combined  all'!$BE$6:$BU$10</definedName>
    <definedName name="Winter">#REF!</definedName>
    <definedName name="x_CurrentIntensityRatio">'[1]3.2 C-FACT Model'!$I$41</definedName>
    <definedName name="year">#REF!</definedName>
    <definedName name="YesNo">#REF!</definedName>
    <definedName name="Yt_TargetCarbonIntensityRatio">'[1]3.2 C-FACT Model'!$AR$40</definedName>
    <definedName name="z_cr360_0_10225215_0_0_9181_6_36">#REF!</definedName>
    <definedName name="z_cr360_0_10225215_18446744073709551612_0_9181_6_32">#REF!</definedName>
    <definedName name="z_cr360_0_10225215_18446744073709551613_0_9181_6_33">#REF!</definedName>
    <definedName name="z_cr360_0_10225215_18446744073709551614_0_9181_6_34">#REF!</definedName>
    <definedName name="z_cr360_0_10225215_18446744073709551615_0_9181_6_35">#REF!</definedName>
    <definedName name="z_cr360_0_10232894_0_0_8940_6_33">#REF!</definedName>
    <definedName name="z_cr360_0_10232894_1_0_8940_6_34">#REF!</definedName>
    <definedName name="z_cr360_0_10232894_18446744073709551611_0_8567_6_18">#REF!</definedName>
    <definedName name="z_cr360_0_10232894_18446744073709551612_0_8940_6_29">#REF!</definedName>
    <definedName name="z_cr360_0_10232894_18446744073709551613_0_8940_6_30">#REF!</definedName>
    <definedName name="z_cr360_0_10232894_18446744073709551614_0_8940_6_31">#REF!</definedName>
    <definedName name="z_cr360_0_10232894_18446744073709551615_0_8940_6_32">#REF!</definedName>
    <definedName name="z_cr360_0_10249343_0_0_8589_6_7">[23]Data!#REF!</definedName>
    <definedName name="z_cr360_0_10249343_0_0_8938_6_23">#REF!</definedName>
    <definedName name="z_cr360_0_10249343_0_0_9181_6_10">#REF!</definedName>
    <definedName name="z_cr360_0_10249343_0_0_9653_6_9">#REF!</definedName>
    <definedName name="z_cr360_0_10249343_0_0_9654_6_9">#REF!</definedName>
    <definedName name="z_cr360_0_10249343_1_0_8589_7_7">[23]Data!#REF!</definedName>
    <definedName name="z_cr360_0_10249343_1_0_8938_6_24">#REF!</definedName>
    <definedName name="z_cr360_0_10249343_1_0_9653_6_10">#REF!</definedName>
    <definedName name="z_cr360_0_10249343_1_0_9654_6_10">#REF!</definedName>
    <definedName name="z_cr360_0_10249343_18446744073709551611_0_8589_1_7">[23]Data!#REF!</definedName>
    <definedName name="z_cr360_0_10249343_18446744073709551611_0_8938_6_18">#REF!</definedName>
    <definedName name="z_cr360_0_10249343_18446744073709551612_0_8589_2_7">[23]Data!#REF!</definedName>
    <definedName name="z_cr360_0_10249343_18446744073709551612_0_8938_6_19">#REF!</definedName>
    <definedName name="z_cr360_0_10249343_18446744073709551612_0_9181_6_6">#REF!</definedName>
    <definedName name="z_cr360_0_10249343_18446744073709551613_0_8589_3_7">[23]Data!#REF!</definedName>
    <definedName name="z_cr360_0_10249343_18446744073709551613_0_8938_6_20">#REF!</definedName>
    <definedName name="z_cr360_0_10249343_18446744073709551613_0_9181_6_7">#REF!</definedName>
    <definedName name="z_cr360_0_10249343_18446744073709551613_0_9653_6_6">#REF!</definedName>
    <definedName name="z_cr360_0_10249343_18446744073709551613_0_9654_6_6">#REF!</definedName>
    <definedName name="z_cr360_0_10249343_18446744073709551614_0_8589_4_7">[23]Data!#REF!</definedName>
    <definedName name="z_cr360_0_10249343_18446744073709551614_0_8938_6_21">#REF!</definedName>
    <definedName name="z_cr360_0_10249343_18446744073709551614_0_9181_6_8">#REF!</definedName>
    <definedName name="z_cr360_0_10249343_18446744073709551614_0_9653_6_7">#REF!</definedName>
    <definedName name="z_cr360_0_10249343_18446744073709551614_0_9654_6_7">#REF!</definedName>
    <definedName name="z_cr360_0_10249343_18446744073709551615_0_8589_5_7">[23]Data!#REF!</definedName>
    <definedName name="z_cr360_0_10249343_18446744073709551615_0_8938_6_22">#REF!</definedName>
    <definedName name="z_cr360_0_10249343_18446744073709551615_0_9181_6_9">#REF!</definedName>
    <definedName name="z_cr360_0_10249343_18446744073709551615_0_9653_6_8">#REF!</definedName>
    <definedName name="z_cr360_0_10249343_18446744073709551615_0_9654_6_8">#REF!</definedName>
    <definedName name="z_cr360_0_10249343_2_0_9653_6_11">#REF!</definedName>
    <definedName name="z_cr360_0_10249343_2_0_9654_6_11">#REF!</definedName>
    <definedName name="z_cr360_0_10249345_0_0_11547_6_20">#REF!</definedName>
    <definedName name="z_cr360_0_10249345_0_0_11548_6_30">#REF!</definedName>
    <definedName name="z_cr360_0_10249345_0_0_7550_5_31">#REF!</definedName>
    <definedName name="z_cr360_0_10249345_0_0_8474_6_29">#REF!</definedName>
    <definedName name="z_cr360_0_10249345_0_0_8589_6_8">[23]Data!#REF!</definedName>
    <definedName name="z_cr360_0_10249345_0_0_9653_6_15">#REF!</definedName>
    <definedName name="z_cr360_0_10249345_0_0_9653_6_17">#REF!</definedName>
    <definedName name="z_cr360_0_10249345_0_0_9654_6_15">#REF!</definedName>
    <definedName name="z_cr360_0_10249345_0_0_9654_6_25">#REF!</definedName>
    <definedName name="z_cr360_0_10249345_1_0_11547_6_21">#REF!</definedName>
    <definedName name="z_cr360_0_10249345_1_0_11548_6_31">#REF!</definedName>
    <definedName name="z_cr360_0_10249345_1_0_8474_6_30">#REF!</definedName>
    <definedName name="z_cr360_0_10249345_1_0_8589_7_8">[23]Data!#REF!</definedName>
    <definedName name="z_cr360_0_10249345_1_0_9653_6_16">#REF!</definedName>
    <definedName name="z_cr360_0_10249345_1_0_9653_6_18">#REF!</definedName>
    <definedName name="z_cr360_0_10249345_1_0_9654_6_16">#REF!</definedName>
    <definedName name="z_cr360_0_10249345_1_0_9654_6_26">#REF!</definedName>
    <definedName name="z_cr360_0_10249345_18446744073709551611_0_7550_5_26">#REF!</definedName>
    <definedName name="z_cr360_0_10249345_18446744073709551611_0_8474_6_24">#REF!</definedName>
    <definedName name="z_cr360_0_10249345_18446744073709551611_0_8589_1_8">[23]Data!#REF!</definedName>
    <definedName name="z_cr360_0_10249345_18446744073709551612_0_11547_6_16">#REF!</definedName>
    <definedName name="z_cr360_0_10249345_18446744073709551612_0_11548_6_26">#REF!</definedName>
    <definedName name="z_cr360_0_10249345_18446744073709551612_0_7550_5_27">#REF!</definedName>
    <definedName name="z_cr360_0_10249345_18446744073709551612_0_8474_6_25">#REF!</definedName>
    <definedName name="z_cr360_0_10249345_18446744073709551612_0_8589_2_8">[23]Data!#REF!</definedName>
    <definedName name="z_cr360_0_10249345_18446744073709551613_0_11547_6_17">#REF!</definedName>
    <definedName name="z_cr360_0_10249345_18446744073709551613_0_11548_6_27">#REF!</definedName>
    <definedName name="z_cr360_0_10249345_18446744073709551613_0_7550_5_28">#REF!</definedName>
    <definedName name="z_cr360_0_10249345_18446744073709551613_0_8474_6_26">#REF!</definedName>
    <definedName name="z_cr360_0_10249345_18446744073709551613_0_8589_3_8">[23]Data!#REF!</definedName>
    <definedName name="z_cr360_0_10249345_18446744073709551613_0_9653_6_12">#REF!</definedName>
    <definedName name="z_cr360_0_10249345_18446744073709551613_0_9653_6_14">#REF!</definedName>
    <definedName name="z_cr360_0_10249345_18446744073709551613_0_9654_6_12">#REF!</definedName>
    <definedName name="z_cr360_0_10249345_18446744073709551613_0_9654_6_22">#REF!</definedName>
    <definedName name="z_cr360_0_10249345_18446744073709551614_0_11547_6_18">#REF!</definedName>
    <definedName name="z_cr360_0_10249345_18446744073709551614_0_11548_6_28">#REF!</definedName>
    <definedName name="z_cr360_0_10249345_18446744073709551614_0_7550_5_29">#REF!</definedName>
    <definedName name="z_cr360_0_10249345_18446744073709551614_0_8474_6_27">#REF!</definedName>
    <definedName name="z_cr360_0_10249345_18446744073709551614_0_8589_4_8">[23]Data!#REF!</definedName>
    <definedName name="z_cr360_0_10249345_18446744073709551614_0_9653_6_13">#REF!</definedName>
    <definedName name="z_cr360_0_10249345_18446744073709551614_0_9653_6_15">#REF!</definedName>
    <definedName name="z_cr360_0_10249345_18446744073709551614_0_9654_6_13">#REF!</definedName>
    <definedName name="z_cr360_0_10249345_18446744073709551614_0_9654_6_23">#REF!</definedName>
    <definedName name="z_cr360_0_10249345_18446744073709551615_0_11547_6_19">#REF!</definedName>
    <definedName name="z_cr360_0_10249345_18446744073709551615_0_11548_6_29">#REF!</definedName>
    <definedName name="z_cr360_0_10249345_18446744073709551615_0_7550_5_30">#REF!</definedName>
    <definedName name="z_cr360_0_10249345_18446744073709551615_0_8474_6_28">#REF!</definedName>
    <definedName name="z_cr360_0_10249345_18446744073709551615_0_8589_5_8">[23]Data!#REF!</definedName>
    <definedName name="z_cr360_0_10249345_18446744073709551615_0_9653_6_14">#REF!</definedName>
    <definedName name="z_cr360_0_10249345_18446744073709551615_0_9653_6_16">#REF!</definedName>
    <definedName name="z_cr360_0_10249345_18446744073709551615_0_9654_6_14">#REF!</definedName>
    <definedName name="z_cr360_0_10249345_18446744073709551615_0_9654_6_24">#REF!</definedName>
    <definedName name="z_cr360_0_10249345_2_0_11547_6_22">#REF!</definedName>
    <definedName name="z_cr360_0_10249345_2_0_11548_6_32">#REF!</definedName>
    <definedName name="z_cr360_0_10249345_2_0_9653_6_17">#REF!</definedName>
    <definedName name="z_cr360_0_10249345_2_0_9653_6_19">#REF!</definedName>
    <definedName name="z_cr360_0_10249345_2_0_9654_6_17">#REF!</definedName>
    <definedName name="z_cr360_0_10249345_2_0_9654_6_27">#REF!</definedName>
    <definedName name="z_cr360_0_10249345_3_0_11547_6_23">#REF!</definedName>
    <definedName name="z_cr360_0_10249345_3_0_11548_6_33">#REF!</definedName>
    <definedName name="z_cr360_0_10249345_3_0_9653_6_20">#REF!</definedName>
    <definedName name="z_cr360_0_10249345_3_0_9654_6_28">#REF!</definedName>
    <definedName name="z_cr360_0_10249345_4_0_11547_6_24">#REF!</definedName>
    <definedName name="z_cr360_0_10249345_4_0_11548_6_34">#REF!</definedName>
    <definedName name="z_cr360_0_10249345_4_0_9653_6_21">#REF!</definedName>
    <definedName name="z_cr360_0_10249345_4_0_9654_6_29">#REF!</definedName>
    <definedName name="z_cr360_0_10249345_5_0_11547_6_25">#REF!</definedName>
    <definedName name="z_cr360_0_10249345_5_0_11548_6_35">#REF!</definedName>
    <definedName name="z_cr360_0_10294100_0_0_7615_6_2">#REF!</definedName>
    <definedName name="z_cr360_0_10294100_0_0_7616_6_2">#REF!</definedName>
    <definedName name="z_cr360_0_10294100_0_0_7715_6_2">#REF!</definedName>
    <definedName name="z_cr360_0_10294100_0_0_7716_6_2">#REF!</definedName>
    <definedName name="z_cr360_0_10294100_1_0_8938_6_3">#REF!</definedName>
    <definedName name="z_cr360_0_10294100_1_0_8939_6_3">#REF!</definedName>
    <definedName name="z_cr360_0_10294100_1_0_8940_6_3">#REF!</definedName>
    <definedName name="z_cr360_0_10294100_1_0_8941_6_3">#REF!</definedName>
    <definedName name="z_cr360_0_10294101_0_0_7615_6_1">#REF!</definedName>
    <definedName name="z_cr360_0_10294101_0_0_7616_6_1">#REF!</definedName>
    <definedName name="z_cr360_0_10294101_0_0_7715_6_1">#REF!</definedName>
    <definedName name="z_cr360_0_10294101_0_0_7716_6_1">#REF!</definedName>
    <definedName name="z_cr360_0_10294101_0_0_8475_5_1">#REF!</definedName>
    <definedName name="z_cr360_0_10294101_0_0_8589_1_1">[23]Data!#REF!</definedName>
    <definedName name="z_cr360_0_10294101_0_0_8589_2_1">[23]Data!#REF!</definedName>
    <definedName name="z_cr360_0_10294101_0_0_8589_3_1">[23]Data!#REF!</definedName>
    <definedName name="z_cr360_0_10294101_0_0_8589_4_1">[23]Data!#REF!</definedName>
    <definedName name="z_cr360_0_10294101_0_0_8589_5_1">[23]Data!#REF!</definedName>
    <definedName name="z_cr360_0_10294101_0_0_8589_6_1">[23]Data!#REF!</definedName>
    <definedName name="z_cr360_0_10294101_0_0_8589_7_1">[23]Data!#REF!</definedName>
    <definedName name="z_cr360_0_10294101_0_0_8938_6_1">#REF!</definedName>
    <definedName name="z_cr360_0_10294101_0_0_8939_6_1">#REF!</definedName>
    <definedName name="z_cr360_0_10294101_0_0_8940_6_1">#REF!</definedName>
    <definedName name="z_cr360_0_10294101_0_0_8941_6_1">#REF!</definedName>
    <definedName name="z_cr360_0_10294101_0_0_8943_6_1">#REF!</definedName>
    <definedName name="z_cr360_0_10294101_0_0_9181_6_1">#REF!</definedName>
    <definedName name="z_cr360_0_10294101_2_0_11547_6_1">#REF!</definedName>
    <definedName name="z_cr360_0_10294101_2_0_11548_6_1">#REF!</definedName>
    <definedName name="z_cr360_0_10294101_2_0_9247_6_1">#REF!</definedName>
    <definedName name="z_cr360_0_10294101_2_0_9653_6_1">#REF!</definedName>
    <definedName name="z_cr360_0_10294101_2_0_9654_6_1">#REF!</definedName>
    <definedName name="z_cr360_0_10299345_1_0_8942_3_4">#REF!</definedName>
    <definedName name="z_cr360_0_10350494_0_0_4607_8_4">#REF!</definedName>
    <definedName name="z_cr360_0_10350494_18446744073709551612_0_4607_8_8">#REF!</definedName>
    <definedName name="z_cr360_0_10350494_18446744073709551613_0_4607_8_7">#REF!</definedName>
    <definedName name="z_cr360_0_10350494_18446744073709551614_0_4607_8_6">#REF!</definedName>
    <definedName name="z_cr360_0_10350494_18446744073709551615_0_4607_8_5">#REF!</definedName>
    <definedName name="z_cr360_0_10351471_0_0_5563_8_11">#REF!</definedName>
    <definedName name="z_cr360_0_10351471_18446744073709551613_0_5563_8_14">#REF!</definedName>
    <definedName name="z_cr360_0_10351471_18446744073709551614_0_5563_8_13">#REF!</definedName>
    <definedName name="z_cr360_0_10351471_18446744073709551615_0_5563_8_12">#REF!</definedName>
    <definedName name="z_cr360_0_10412771_0_0_8567_6_31">#REF!</definedName>
    <definedName name="z_cr360_0_10412771_1_0_8567_6_32">#REF!</definedName>
    <definedName name="z_cr360_0_10412771_18446744073709551611_0_8567_6_26">#REF!</definedName>
    <definedName name="z_cr360_0_10412771_18446744073709551612_0_8567_6_27">#REF!</definedName>
    <definedName name="z_cr360_0_10412771_18446744073709551613_0_8567_6_28">#REF!</definedName>
    <definedName name="z_cr360_0_10412771_18446744073709551614_0_8567_6_29">#REF!</definedName>
    <definedName name="z_cr360_0_10412771_18446744073709551615_0_8567_6_30">#REF!</definedName>
    <definedName name="z_cr360_0_10412773_0_0_8567_6_115">#REF!</definedName>
    <definedName name="z_cr360_0_10412773_1_0_8567_6_116">#REF!</definedName>
    <definedName name="z_cr360_0_10412773_18446744073709551611_0_8567_6_110">#REF!</definedName>
    <definedName name="z_cr360_0_10412773_18446744073709551612_0_8567_6_111">#REF!</definedName>
    <definedName name="z_cr360_0_10412773_18446744073709551613_0_8567_6_112">#REF!</definedName>
    <definedName name="z_cr360_0_10412773_18446744073709551614_0_8567_6_113">#REF!</definedName>
    <definedName name="z_cr360_0_10412773_18446744073709551615_0_8567_6_114">#REF!</definedName>
    <definedName name="z_cr360_0_10412775_0_0_8567_6_90">#REF!</definedName>
    <definedName name="z_cr360_0_10412775_1_0_8567_6_91">#REF!</definedName>
    <definedName name="z_cr360_0_10412775_18446744073709551611_0_8567_6_85">#REF!</definedName>
    <definedName name="z_cr360_0_10412775_18446744073709551612_0_8567_6_86">#REF!</definedName>
    <definedName name="z_cr360_0_10412775_18446744073709551613_0_8567_6_87">#REF!</definedName>
    <definedName name="z_cr360_0_10412775_18446744073709551614_0_8567_6_88">#REF!</definedName>
    <definedName name="z_cr360_0_10412775_18446744073709551615_0_8567_6_89">#REF!</definedName>
    <definedName name="z_cr360_0_10412776_0_0_8567_6_65">#REF!</definedName>
    <definedName name="z_cr360_0_10412776_1_0_8567_6_66">#REF!</definedName>
    <definedName name="z_cr360_0_10412776_18446744073709551611_0_8567_6_60">#REF!</definedName>
    <definedName name="z_cr360_0_10412776_18446744073709551612_0_8567_6_61">#REF!</definedName>
    <definedName name="z_cr360_0_10412776_18446744073709551613_0_8567_6_62">#REF!</definedName>
    <definedName name="z_cr360_0_10412776_18446744073709551614_0_8567_6_63">#REF!</definedName>
    <definedName name="z_cr360_0_10412776_18446744073709551615_0_8567_6_64">#REF!</definedName>
    <definedName name="z_cr360_0_10412812_0_0_7552_5_58">#REF!</definedName>
    <definedName name="z_cr360_0_10412812_0_0_7616_6_47">#REF!</definedName>
    <definedName name="z_cr360_0_10412812_0_0_8567_6_123">#REF!</definedName>
    <definedName name="z_cr360_0_10412812_1_0_8567_6_124">#REF!</definedName>
    <definedName name="z_cr360_0_10412812_18446744073709551611_0_7552_5_53">#REF!</definedName>
    <definedName name="z_cr360_0_10412812_18446744073709551611_0_7616_6_42">#REF!</definedName>
    <definedName name="z_cr360_0_10412812_18446744073709551611_0_8567_6_118">#REF!</definedName>
    <definedName name="z_cr360_0_10412812_18446744073709551612_0_7552_5_54">#REF!</definedName>
    <definedName name="z_cr360_0_10412812_18446744073709551612_0_7616_6_43">#REF!</definedName>
    <definedName name="z_cr360_0_10412812_18446744073709551612_0_8567_6_119">#REF!</definedName>
    <definedName name="z_cr360_0_10412812_18446744073709551613_0_7552_5_55">#REF!</definedName>
    <definedName name="z_cr360_0_10412812_18446744073709551613_0_7616_6_44">#REF!</definedName>
    <definedName name="z_cr360_0_10412812_18446744073709551613_0_8567_6_120">#REF!</definedName>
    <definedName name="z_cr360_0_10412812_18446744073709551614_0_7552_5_56">#REF!</definedName>
    <definedName name="z_cr360_0_10412812_18446744073709551614_0_7616_6_45">#REF!</definedName>
    <definedName name="z_cr360_0_10412812_18446744073709551614_0_8567_6_121">#REF!</definedName>
    <definedName name="z_cr360_0_10412812_18446744073709551615_0_7552_5_57">#REF!</definedName>
    <definedName name="z_cr360_0_10412812_18446744073709551615_0_7616_6_46">#REF!</definedName>
    <definedName name="z_cr360_0_10412812_18446744073709551615_0_8567_6_122">#REF!</definedName>
    <definedName name="z_cr360_0_10412813_0_0_7616_6_39">#REF!</definedName>
    <definedName name="z_cr360_0_10412813_0_0_8567_6_98">#REF!</definedName>
    <definedName name="z_cr360_0_10412813_1_0_8567_6_99">#REF!</definedName>
    <definedName name="z_cr360_0_10412813_18446744073709551611_0_7616_6_34">#REF!</definedName>
    <definedName name="z_cr360_0_10412813_18446744073709551611_0_8567_6_93">#REF!</definedName>
    <definedName name="z_cr360_0_10412813_18446744073709551612_0_7616_6_35">#REF!</definedName>
    <definedName name="z_cr360_0_10412813_18446744073709551612_0_8567_6_94">#REF!</definedName>
    <definedName name="z_cr360_0_10412813_18446744073709551613_0_7616_6_36">#REF!</definedName>
    <definedName name="z_cr360_0_10412813_18446744073709551613_0_8567_6_95">#REF!</definedName>
    <definedName name="z_cr360_0_10412813_18446744073709551614_0_7616_6_37">#REF!</definedName>
    <definedName name="z_cr360_0_10412813_18446744073709551614_0_8567_6_96">#REF!</definedName>
    <definedName name="z_cr360_0_10412813_18446744073709551615_0_7616_6_38">#REF!</definedName>
    <definedName name="z_cr360_0_10412813_18446744073709551615_0_8567_6_97">#REF!</definedName>
    <definedName name="z_cr360_0_10412814_0_0_7616_6_31">#REF!</definedName>
    <definedName name="z_cr360_0_10412814_0_0_8567_6_73">#REF!</definedName>
    <definedName name="z_cr360_0_10412814_1_0_8567_6_74">#REF!</definedName>
    <definedName name="z_cr360_0_10412814_18446744073709551611_0_7616_6_26">#REF!</definedName>
    <definedName name="z_cr360_0_10412814_18446744073709551611_0_8567_6_68">#REF!</definedName>
    <definedName name="z_cr360_0_10412814_18446744073709551612_0_7616_6_27">#REF!</definedName>
    <definedName name="z_cr360_0_10412814_18446744073709551612_0_8567_6_69">#REF!</definedName>
    <definedName name="z_cr360_0_10412814_18446744073709551613_0_7616_6_28">#REF!</definedName>
    <definedName name="z_cr360_0_10412814_18446744073709551613_0_8567_6_70">#REF!</definedName>
    <definedName name="z_cr360_0_10412814_18446744073709551614_0_7616_6_29">#REF!</definedName>
    <definedName name="z_cr360_0_10412814_18446744073709551614_0_8567_6_71">#REF!</definedName>
    <definedName name="z_cr360_0_10412814_18446744073709551615_0_7616_6_30">#REF!</definedName>
    <definedName name="z_cr360_0_10412814_18446744073709551615_0_8567_6_72">#REF!</definedName>
    <definedName name="z_cr360_0_10412916_0_0_7615_6_3">#REF!</definedName>
    <definedName name="z_cr360_0_10412916_0_0_7616_6_3">#REF!</definedName>
    <definedName name="z_cr360_0_10412916_0_0_7715_6_3">#REF!</definedName>
    <definedName name="z_cr360_0_10412916_0_0_7716_6_3">#REF!</definedName>
    <definedName name="z_cr360_0_10412916_0_0_8474_6_3">#REF!</definedName>
    <definedName name="z_cr360_0_10430298_0_0_8589_6_10">[23]Data!#REF!</definedName>
    <definedName name="z_cr360_0_10430298_0_0_8938_6_67">#REF!</definedName>
    <definedName name="z_cr360_0_10430298_1_0_8589_7_10">[23]Data!#REF!</definedName>
    <definedName name="z_cr360_0_10430298_1_0_8938_6_68">#REF!</definedName>
    <definedName name="z_cr360_0_10430298_18446744073709551611_0_8589_1_10">[23]Data!#REF!</definedName>
    <definedName name="z_cr360_0_10430298_18446744073709551611_0_8938_6_62">#REF!</definedName>
    <definedName name="z_cr360_0_10430298_18446744073709551612_0_8589_2_10">[23]Data!#REF!</definedName>
    <definedName name="z_cr360_0_10430298_18446744073709551612_0_8938_6_63">#REF!</definedName>
    <definedName name="z_cr360_0_10430298_18446744073709551613_0_8589_3_10">[23]Data!#REF!</definedName>
    <definedName name="z_cr360_0_10430298_18446744073709551613_0_8938_6_64">#REF!</definedName>
    <definedName name="z_cr360_0_10430298_18446744073709551614_0_8589_4_10">[23]Data!#REF!</definedName>
    <definedName name="z_cr360_0_10430298_18446744073709551614_0_8938_6_65">#REF!</definedName>
    <definedName name="z_cr360_0_10430298_18446744073709551615_0_8589_5_10">[23]Data!#REF!</definedName>
    <definedName name="z_cr360_0_10430298_18446744073709551615_0_8938_6_66">#REF!</definedName>
    <definedName name="z_cr360_0_10436658_0_0_11547_6_30">#REF!</definedName>
    <definedName name="z_cr360_0_10436658_0_0_11548_6_40">#REF!</definedName>
    <definedName name="z_cr360_0_10436658_0_0_8474_6_40">#REF!</definedName>
    <definedName name="z_cr360_0_10436658_0_0_8589_6_9">[23]Data!#REF!</definedName>
    <definedName name="z_cr360_0_10436658_0_0_9653_6_21">#REF!</definedName>
    <definedName name="z_cr360_0_10436658_0_0_9653_6_25">#REF!</definedName>
    <definedName name="z_cr360_0_10436658_0_0_9654_6_21">#REF!</definedName>
    <definedName name="z_cr360_0_10436658_0_0_9654_6_33">#REF!</definedName>
    <definedName name="z_cr360_0_10436658_1_0_11547_6_31">#REF!</definedName>
    <definedName name="z_cr360_0_10436658_1_0_11548_6_41">#REF!</definedName>
    <definedName name="z_cr360_0_10436658_1_0_8474_6_41">#REF!</definedName>
    <definedName name="z_cr360_0_10436658_1_0_8589_7_9">[23]Data!#REF!</definedName>
    <definedName name="z_cr360_0_10436658_1_0_9653_6_22">#REF!</definedName>
    <definedName name="z_cr360_0_10436658_1_0_9653_6_26">#REF!</definedName>
    <definedName name="z_cr360_0_10436658_1_0_9654_6_22">#REF!</definedName>
    <definedName name="z_cr360_0_10436658_1_0_9654_6_34">#REF!</definedName>
    <definedName name="z_cr360_0_10436658_18446744073709551611_0_8474_6_35">#REF!</definedName>
    <definedName name="z_cr360_0_10436658_18446744073709551611_0_8589_1_9">[23]Data!#REF!</definedName>
    <definedName name="z_cr360_0_10436658_18446744073709551612_0_11547_6_26">#REF!</definedName>
    <definedName name="z_cr360_0_10436658_18446744073709551612_0_11548_6_36">#REF!</definedName>
    <definedName name="z_cr360_0_10436658_18446744073709551612_0_8474_6_36">#REF!</definedName>
    <definedName name="z_cr360_0_10436658_18446744073709551612_0_8589_2_9">[23]Data!#REF!</definedName>
    <definedName name="z_cr360_0_10436658_18446744073709551612_0_9653_6_29">#REF!</definedName>
    <definedName name="z_cr360_0_10436658_18446744073709551613_0_11547_6_27">#REF!</definedName>
    <definedName name="z_cr360_0_10436658_18446744073709551613_0_11548_6_37">#REF!</definedName>
    <definedName name="z_cr360_0_10436658_18446744073709551613_0_8474_6_37">#REF!</definedName>
    <definedName name="z_cr360_0_10436658_18446744073709551613_0_8589_3_9">[23]Data!#REF!</definedName>
    <definedName name="z_cr360_0_10436658_18446744073709551613_0_9653_6_18">#REF!</definedName>
    <definedName name="z_cr360_0_10436658_18446744073709551613_0_9653_6_22">#REF!</definedName>
    <definedName name="z_cr360_0_10436658_18446744073709551613_0_9654_6_18">#REF!</definedName>
    <definedName name="z_cr360_0_10436658_18446744073709551613_0_9654_6_30">#REF!</definedName>
    <definedName name="z_cr360_0_10436658_18446744073709551614_0_11547_6_28">#REF!</definedName>
    <definedName name="z_cr360_0_10436658_18446744073709551614_0_11548_6_38">#REF!</definedName>
    <definedName name="z_cr360_0_10436658_18446744073709551614_0_8474_6_38">#REF!</definedName>
    <definedName name="z_cr360_0_10436658_18446744073709551614_0_8589_4_9">[23]Data!#REF!</definedName>
    <definedName name="z_cr360_0_10436658_18446744073709551614_0_9653_6_19">#REF!</definedName>
    <definedName name="z_cr360_0_10436658_18446744073709551614_0_9653_6_23">#REF!</definedName>
    <definedName name="z_cr360_0_10436658_18446744073709551614_0_9654_6_19">#REF!</definedName>
    <definedName name="z_cr360_0_10436658_18446744073709551614_0_9654_6_31">#REF!</definedName>
    <definedName name="z_cr360_0_10436658_18446744073709551615_0_11547_6_29">#REF!</definedName>
    <definedName name="z_cr360_0_10436658_18446744073709551615_0_11548_6_39">#REF!</definedName>
    <definedName name="z_cr360_0_10436658_18446744073709551615_0_8474_6_39">#REF!</definedName>
    <definedName name="z_cr360_0_10436658_18446744073709551615_0_8589_5_9">[23]Data!#REF!</definedName>
    <definedName name="z_cr360_0_10436658_18446744073709551615_0_9653_6_20">#REF!</definedName>
    <definedName name="z_cr360_0_10436658_18446744073709551615_0_9653_6_24">#REF!</definedName>
    <definedName name="z_cr360_0_10436658_18446744073709551615_0_9654_6_20">#REF!</definedName>
    <definedName name="z_cr360_0_10436658_18446744073709551615_0_9654_6_32">#REF!</definedName>
    <definedName name="z_cr360_0_10436658_2_0_11547_6_32">#REF!</definedName>
    <definedName name="z_cr360_0_10436658_2_0_11548_6_42">#REF!</definedName>
    <definedName name="z_cr360_0_10436658_2_0_9653_6_23">#REF!</definedName>
    <definedName name="z_cr360_0_10436658_2_0_9653_6_27">#REF!</definedName>
    <definedName name="z_cr360_0_10436658_2_0_9654_6_23">#REF!</definedName>
    <definedName name="z_cr360_0_10436658_2_0_9654_6_35">#REF!</definedName>
    <definedName name="z_cr360_0_10436658_3_0_11547_6_33">#REF!</definedName>
    <definedName name="z_cr360_0_10436658_3_0_9653_6_28">#REF!</definedName>
    <definedName name="z_cr360_0_10436658_3_0_9654_6_36">#REF!</definedName>
    <definedName name="z_cr360_0_11582877_0_0_7615_6_4">#REF!</definedName>
    <definedName name="z_cr360_0_11582877_0_0_7616_6_4">#REF!</definedName>
    <definedName name="z_cr360_0_11582877_0_0_7715_6_4">#REF!</definedName>
    <definedName name="z_cr360_0_11582877_0_0_7716_6_4">#REF!</definedName>
    <definedName name="z_cr360_0_11582877_0_0_8474_6_4">#REF!</definedName>
    <definedName name="z_cr360_0_11582877_0_0_8938_6_4">#REF!</definedName>
    <definedName name="z_cr360_0_11582877_0_0_8939_6_4">#REF!</definedName>
    <definedName name="z_cr360_0_11582877_0_0_8940_6_4">#REF!</definedName>
    <definedName name="z_cr360_0_11582877_0_0_8941_6_4">#REF!</definedName>
    <definedName name="z_cr360_0_11641482_0_0_11548_6_20">#REF!</definedName>
    <definedName name="z_cr360_0_11641482_0_0_9654_6_17">#REF!</definedName>
    <definedName name="z_cr360_0_11641482_1_0_11548_6_21">#REF!</definedName>
    <definedName name="z_cr360_0_11641482_1_0_9654_6_18">#REF!</definedName>
    <definedName name="z_cr360_0_11641482_1_0_9654_6_19">#REF!</definedName>
    <definedName name="z_cr360_0_11641482_18446744073709551612_0_11548_6_16">#REF!</definedName>
    <definedName name="z_cr360_0_11641482_18446744073709551613_0_11548_6_17">#REF!</definedName>
    <definedName name="z_cr360_0_11641482_18446744073709551613_0_9654_6_14">#REF!</definedName>
    <definedName name="z_cr360_0_11641482_18446744073709551614_0_11548_6_18">#REF!</definedName>
    <definedName name="z_cr360_0_11641482_18446744073709551614_0_9654_6_15">#REF!</definedName>
    <definedName name="z_cr360_0_11641482_18446744073709551615_0_11548_6_19">#REF!</definedName>
    <definedName name="z_cr360_0_11641482_18446744073709551615_0_9654_6_16">#REF!</definedName>
    <definedName name="z_cr360_0_11641482_2_0_11548_6_22">#REF!</definedName>
    <definedName name="z_cr360_0_11641482_2_0_9654_6_20">#REF!</definedName>
    <definedName name="z_cr360_0_11641482_3_0_11548_6_23">#REF!</definedName>
    <definedName name="z_cr360_0_11641482_4_0_11548_6_24">#REF!</definedName>
    <definedName name="z_cr360_0_11641482_4_0_9654_6_21">#REF!</definedName>
    <definedName name="z_cr360_0_11641482_5_0_11548_6_25">#REF!</definedName>
    <definedName name="z_cr360_0_11661557_0_0_7550_5_7">#REF!</definedName>
    <definedName name="z_cr360_0_11661557_0_0_7615_6_6">#REF!</definedName>
    <definedName name="z_cr360_0_11661557_0_0_7616_6_6">#REF!</definedName>
    <definedName name="z_cr360_0_11661557_0_0_7715_6_6">#REF!</definedName>
    <definedName name="z_cr360_0_11661557_0_0_7716_6_6">#REF!</definedName>
    <definedName name="z_cr360_0_11661557_0_0_8475_5_2">#REF!</definedName>
    <definedName name="z_cr360_0_11661557_0_0_8589_1_3">[23]Data!#REF!</definedName>
    <definedName name="z_cr360_0_11661557_0_0_8589_2_3">[23]Data!#REF!</definedName>
    <definedName name="z_cr360_0_11661557_0_0_8589_3_3">[23]Data!#REF!</definedName>
    <definedName name="z_cr360_0_11661557_0_0_8589_4_3">[23]Data!#REF!</definedName>
    <definedName name="z_cr360_0_11661557_0_0_8589_5_3">[23]Data!#REF!</definedName>
    <definedName name="z_cr360_0_11661557_0_0_8589_6_3">[23]Data!#REF!</definedName>
    <definedName name="z_cr360_0_11661557_0_0_8589_7_3">[23]Data!#REF!</definedName>
    <definedName name="z_cr360_0_11661557_0_0_8938_6_6">#REF!</definedName>
    <definedName name="z_cr360_0_11661557_0_0_8939_6_6">#REF!</definedName>
    <definedName name="z_cr360_0_11661557_0_0_8940_6_6">#REF!</definedName>
    <definedName name="z_cr360_0_11661557_0_0_8941_6_6">#REF!</definedName>
    <definedName name="z_cr360_0_11661557_0_0_8943_6_3">#REF!</definedName>
    <definedName name="z_cr360_0_11661557_0_0_9181_6_3">#REF!</definedName>
    <definedName name="z_cr360_0_11661557_1_0_8942_3_1">#REF!</definedName>
    <definedName name="z_cr360_0_11661557_2_0_11547_6_3">#REF!</definedName>
    <definedName name="z_cr360_0_11661557_2_0_11548_6_3">#REF!</definedName>
    <definedName name="z_cr360_0_11661557_2_0_9247_6_3">#REF!</definedName>
    <definedName name="z_cr360_0_11661557_2_0_9653_6_3">#REF!</definedName>
    <definedName name="z_cr360_0_11661557_2_0_9654_6_3">#REF!</definedName>
    <definedName name="z_cr360_0_11669400_0_0_8589_6_12">[23]Data!#REF!</definedName>
    <definedName name="z_cr360_0_11669400_0_0_8938_6_89">#REF!</definedName>
    <definedName name="z_cr360_0_11669400_1_0_8589_7_12">[23]Data!#REF!</definedName>
    <definedName name="z_cr360_0_11669400_1_0_8938_6_90">#REF!</definedName>
    <definedName name="z_cr360_0_11669400_18446744073709551611_0_8589_1_12">[23]Data!#REF!</definedName>
    <definedName name="z_cr360_0_11669400_18446744073709551611_0_8938_6_84">#REF!</definedName>
    <definedName name="z_cr360_0_11669400_18446744073709551612_0_8589_2_12">[23]Data!#REF!</definedName>
    <definedName name="z_cr360_0_11669400_18446744073709551612_0_8938_6_85">#REF!</definedName>
    <definedName name="z_cr360_0_11669400_18446744073709551613_0_8589_3_12">[23]Data!#REF!</definedName>
    <definedName name="z_cr360_0_11669400_18446744073709551613_0_8938_6_86">#REF!</definedName>
    <definedName name="z_cr360_0_11669400_18446744073709551614_0_8589_4_12">[23]Data!#REF!</definedName>
    <definedName name="z_cr360_0_11669400_18446744073709551614_0_8938_6_87">#REF!</definedName>
    <definedName name="z_cr360_0_11669400_18446744073709551615_0_8589_5_12">[23]Data!#REF!</definedName>
    <definedName name="z_cr360_0_11669400_18446744073709551615_0_8938_6_88">#REF!</definedName>
    <definedName name="z_cr360_0_12017676_0_0_7551_5_40">#REF!</definedName>
    <definedName name="z_cr360_0_12017676_18446744073709551611_0_7551_5_35">#REF!</definedName>
    <definedName name="z_cr360_0_12017676_18446744073709551612_0_7551_5_36">#REF!</definedName>
    <definedName name="z_cr360_0_12017676_18446744073709551613_0_7551_5_37">#REF!</definedName>
    <definedName name="z_cr360_0_12017676_18446744073709551614_0_7551_5_38">#REF!</definedName>
    <definedName name="z_cr360_0_12017676_18446744073709551615_0_7551_5_39">#REF!</definedName>
    <definedName name="z_cr360_0_12017684_0_0_5563_8_28">#REF!</definedName>
    <definedName name="z_cr360_0_12017684_0_0_7615_6_15">#REF!</definedName>
    <definedName name="z_cr360_0_12017684_0_0_8939_6_18">#REF!</definedName>
    <definedName name="z_cr360_0_12017684_1_0_8939_6_19">#REF!</definedName>
    <definedName name="z_cr360_0_12017684_18446744073709551611_0_7615_6_10">#REF!</definedName>
    <definedName name="z_cr360_0_12017684_18446744073709551611_0_8939_6_13">#REF!</definedName>
    <definedName name="z_cr360_0_12017684_18446744073709551612_0_5563_8_32">#REF!</definedName>
    <definedName name="z_cr360_0_12017684_18446744073709551612_0_7615_6_11">#REF!</definedName>
    <definedName name="z_cr360_0_12017684_18446744073709551612_0_8939_6_14">#REF!</definedName>
    <definedName name="z_cr360_0_12017684_18446744073709551613_0_5563_8_31">#REF!</definedName>
    <definedName name="z_cr360_0_12017684_18446744073709551613_0_7615_6_12">#REF!</definedName>
    <definedName name="z_cr360_0_12017684_18446744073709551613_0_8939_6_15">#REF!</definedName>
    <definedName name="z_cr360_0_12017684_18446744073709551614_0_5563_8_30">#REF!</definedName>
    <definedName name="z_cr360_0_12017684_18446744073709551614_0_7615_6_13">#REF!</definedName>
    <definedName name="z_cr360_0_12017684_18446744073709551614_0_8939_6_16">#REF!</definedName>
    <definedName name="z_cr360_0_12017684_18446744073709551615_0_5563_8_29">#REF!</definedName>
    <definedName name="z_cr360_0_12017684_18446744073709551615_0_7615_6_14">#REF!</definedName>
    <definedName name="z_cr360_0_12017684_18446744073709551615_0_8939_6_17">#REF!</definedName>
    <definedName name="z_cr360_0_12017894_0_0_8939_6_62">#REF!</definedName>
    <definedName name="z_cr360_0_12017894_1_0_8939_6_63">#REF!</definedName>
    <definedName name="z_cr360_0_12017894_18446744073709551611_0_8939_6_57">#REF!</definedName>
    <definedName name="z_cr360_0_12017894_18446744073709551612_0_8939_6_58">#REF!</definedName>
    <definedName name="z_cr360_0_12017894_18446744073709551613_0_8939_6_59">#REF!</definedName>
    <definedName name="z_cr360_0_12017894_18446744073709551614_0_8939_6_60">#REF!</definedName>
    <definedName name="z_cr360_0_12017894_18446744073709551615_0_8939_6_61">#REF!</definedName>
    <definedName name="z_cr360_0_12019701_0_0_7615_6_25">#REF!</definedName>
    <definedName name="z_cr360_0_12019701_0_0_8939_6_29">#REF!</definedName>
    <definedName name="z_cr360_0_12019701_1_0_8939_6_30">#REF!</definedName>
    <definedName name="z_cr360_0_12019701_18446744073709551611_0_7615_6_20">#REF!</definedName>
    <definedName name="z_cr360_0_12019701_18446744073709551611_0_8939_6_24">#REF!</definedName>
    <definedName name="z_cr360_0_12019701_18446744073709551612_0_7615_6_21">#REF!</definedName>
    <definedName name="z_cr360_0_12019701_18446744073709551612_0_8939_6_25">#REF!</definedName>
    <definedName name="z_cr360_0_12019701_18446744073709551613_0_7615_6_22">#REF!</definedName>
    <definedName name="z_cr360_0_12019701_18446744073709551613_0_8939_6_26">#REF!</definedName>
    <definedName name="z_cr360_0_12019701_18446744073709551614_0_7615_6_23">#REF!</definedName>
    <definedName name="z_cr360_0_12019701_18446744073709551614_0_8939_6_27">#REF!</definedName>
    <definedName name="z_cr360_0_12019701_18446744073709551615_0_7615_6_24">#REF!</definedName>
    <definedName name="z_cr360_0_12019701_18446744073709551615_0_8939_6_28">#REF!</definedName>
    <definedName name="z_cr360_0_12161446_0_0_5563_8_3">#REF!</definedName>
    <definedName name="z_cr360_0_12161446_0_0_7615_6_7">#REF!</definedName>
    <definedName name="z_cr360_0_12161446_0_0_7616_6_7">#REF!</definedName>
    <definedName name="z_cr360_0_12161446_0_0_7715_6_7">#REF!</definedName>
    <definedName name="z_cr360_0_12161446_0_0_7716_6_7">#REF!</definedName>
    <definedName name="z_cr360_0_12161446_0_0_8475_5_3">#REF!</definedName>
    <definedName name="z_cr360_0_12161446_0_0_8589_1_4">[23]Data!#REF!</definedName>
    <definedName name="z_cr360_0_12161446_0_0_8589_2_4">[23]Data!#REF!</definedName>
    <definedName name="z_cr360_0_12161446_0_0_8589_3_4">[23]Data!#REF!</definedName>
    <definedName name="z_cr360_0_12161446_0_0_8589_4_4">[23]Data!#REF!</definedName>
    <definedName name="z_cr360_0_12161446_0_0_8589_5_4">[23]Data!#REF!</definedName>
    <definedName name="z_cr360_0_12161446_0_0_8589_6_4">[23]Data!#REF!</definedName>
    <definedName name="z_cr360_0_12161446_0_0_8589_7_4">[23]Data!#REF!</definedName>
    <definedName name="z_cr360_0_12161446_0_0_8938_6_7">#REF!</definedName>
    <definedName name="z_cr360_0_12161446_0_0_8939_6_7">#REF!</definedName>
    <definedName name="z_cr360_0_12161446_0_0_8940_6_7">#REF!</definedName>
    <definedName name="z_cr360_0_12161446_0_0_8941_6_7">#REF!</definedName>
    <definedName name="z_cr360_0_12161446_0_0_8943_6_4">#REF!</definedName>
    <definedName name="z_cr360_0_12161446_0_0_9181_6_4">#REF!</definedName>
    <definedName name="z_cr360_0_12161446_1_0_8942_3_2">#REF!</definedName>
    <definedName name="z_cr360_0_12161446_2_0_11547_6_4">#REF!</definedName>
    <definedName name="z_cr360_0_12161446_2_0_11548_6_4">#REF!</definedName>
    <definedName name="z_cr360_0_12161446_2_0_9247_6_4">#REF!</definedName>
    <definedName name="z_cr360_0_12161446_2_0_9653_6_4">#REF!</definedName>
    <definedName name="z_cr360_0_12161446_2_0_9654_6_4">#REF!</definedName>
    <definedName name="z_cr360_0_12600924_0_0_4607_8_20">#REF!</definedName>
    <definedName name="z_cr360_0_12600924_18446744073709551612_0_4607_8_24">#REF!</definedName>
    <definedName name="z_cr360_0_12600924_18446744073709551613_0_4607_8_23">#REF!</definedName>
    <definedName name="z_cr360_0_12600924_18446744073709551614_0_4607_8_22">#REF!</definedName>
    <definedName name="z_cr360_0_12600924_18446744073709551615_0_4607_8_21">#REF!</definedName>
    <definedName name="z_cr360_0_12603576_0_0_5563_8_46">#REF!</definedName>
    <definedName name="z_cr360_0_12603576_18446744073709551612_0_5563_8_50">#REF!</definedName>
    <definedName name="z_cr360_0_12603576_18446744073709551613_0_5563_8_49">#REF!</definedName>
    <definedName name="z_cr360_0_12603576_18446744073709551614_0_5563_8_48">#REF!</definedName>
    <definedName name="z_cr360_0_12603576_18446744073709551615_0_5563_8_47">#REF!</definedName>
    <definedName name="z_cr360_0_12603577_0_0_5563_8_51">#REF!</definedName>
    <definedName name="z_cr360_0_12603577_18446744073709551612_0_5563_8_55">#REF!</definedName>
    <definedName name="z_cr360_0_12603577_18446744073709551613_0_5563_8_54">#REF!</definedName>
    <definedName name="z_cr360_0_12603577_18446744073709551614_0_5563_8_53">#REF!</definedName>
    <definedName name="z_cr360_0_12603577_18446744073709551615_0_5563_8_52">#REF!</definedName>
    <definedName name="z_cr360_0_12605271_0_0_5563_8_35">#REF!</definedName>
    <definedName name="z_cr360_0_12605271_18446744073709551613_0_5563_8_38">#REF!</definedName>
    <definedName name="z_cr360_0_12605271_18446744073709551614_0_5563_8_37">#REF!</definedName>
    <definedName name="z_cr360_0_12605271_18446744073709551615_0_5563_8_36">#REF!</definedName>
    <definedName name="z_cr360_0_12605481_0_0_5563_8_42">#REF!</definedName>
    <definedName name="z_cr360_0_12605487_0_0_5563_8_39">#REF!</definedName>
    <definedName name="z_cr360_0_12605488_0_0_5563_8_41">#REF!</definedName>
    <definedName name="z_cr360_0_13282307_0_0_8589_6_13">[23]Data!#REF!</definedName>
    <definedName name="z_cr360_0_13282307_0_0_8938_6_168">#REF!</definedName>
    <definedName name="z_cr360_0_13282307_1_0_8474_6_136">#REF!</definedName>
    <definedName name="z_cr360_0_13282307_1_0_8589_7_13">[23]Data!#REF!</definedName>
    <definedName name="z_cr360_0_13282307_18446744073709551611_0_8589_1_13">[23]Data!#REF!</definedName>
    <definedName name="z_cr360_0_13282307_18446744073709551612_0_8589_2_13">[23]Data!#REF!</definedName>
    <definedName name="z_cr360_0_13282307_18446744073709551612_0_8938_6_164">#REF!</definedName>
    <definedName name="z_cr360_0_13282307_18446744073709551613_0_8589_3_13">[23]Data!#REF!</definedName>
    <definedName name="z_cr360_0_13282307_18446744073709551613_0_8938_6_165">#REF!</definedName>
    <definedName name="z_cr360_0_13282307_18446744073709551614_0_8589_4_13">[23]Data!#REF!</definedName>
    <definedName name="z_cr360_0_13282307_18446744073709551614_0_8938_6_166">#REF!</definedName>
    <definedName name="z_cr360_0_13282307_18446744073709551615_0_8589_5_13">[23]Data!#REF!</definedName>
    <definedName name="z_cr360_0_13282307_18446744073709551615_0_8938_6_167">#REF!</definedName>
    <definedName name="z_cr360_0_13282308_0_0_7616_6_81">#REF!</definedName>
    <definedName name="z_cr360_0_13282308_0_0_8940_6_145">#REF!</definedName>
    <definedName name="z_cr360_0_13282308_1_0_8484_6_167">#REF!</definedName>
    <definedName name="z_cr360_0_13282308_18446744073709551612_0_7616_6_77">#REF!</definedName>
    <definedName name="z_cr360_0_13282308_18446744073709551612_0_8940_6_141">#REF!</definedName>
    <definedName name="z_cr360_0_13282308_18446744073709551613_0_7616_6_78">#REF!</definedName>
    <definedName name="z_cr360_0_13282308_18446744073709551613_0_8940_6_142">#REF!</definedName>
    <definedName name="z_cr360_0_13282308_18446744073709551614_0_7616_6_79">#REF!</definedName>
    <definedName name="z_cr360_0_13282308_18446744073709551614_0_8940_6_143">#REF!</definedName>
    <definedName name="z_cr360_0_13282308_18446744073709551615_0_7616_6_80">#REF!</definedName>
    <definedName name="z_cr360_0_13282308_18446744073709551615_0_8940_6_144">#REF!</definedName>
    <definedName name="z_cr360_0_13282309_0_0_7615_6_76">#REF!</definedName>
    <definedName name="z_cr360_0_13282309_0_0_8939_6_116">#REF!</definedName>
    <definedName name="z_cr360_0_13282309_1_0_8483_6_117">#REF!</definedName>
    <definedName name="z_cr360_0_13282309_18446744073709551612_0_7615_6_72">#REF!</definedName>
    <definedName name="z_cr360_0_13282309_18446744073709551612_0_8939_6_112">#REF!</definedName>
    <definedName name="z_cr360_0_13282309_18446744073709551613_0_7615_6_73">#REF!</definedName>
    <definedName name="z_cr360_0_13282309_18446744073709551613_0_8939_6_113">#REF!</definedName>
    <definedName name="z_cr360_0_13282309_18446744073709551614_0_7615_6_74">#REF!</definedName>
    <definedName name="z_cr360_0_13282309_18446744073709551614_0_8939_6_114">#REF!</definedName>
    <definedName name="z_cr360_0_13282309_18446744073709551615_0_7615_6_75">#REF!</definedName>
    <definedName name="z_cr360_0_13282309_18446744073709551615_0_8939_6_115">#REF!</definedName>
    <definedName name="z_cr360_0_13282359_0_0_7617_5_32">#REF!</definedName>
    <definedName name="z_cr360_0_13282359_0_0_8941_6_17">#REF!</definedName>
    <definedName name="z_cr360_0_13282359_18446744073709551612_0_8941_6_13">#REF!</definedName>
    <definedName name="z_cr360_0_13282359_18446744073709551613_0_8941_6_14">#REF!</definedName>
    <definedName name="z_cr360_0_13282359_18446744073709551614_0_7617_5_30">#REF!</definedName>
    <definedName name="z_cr360_0_13282359_18446744073709551614_0_8941_6_15">#REF!</definedName>
    <definedName name="z_cr360_0_13282359_18446744073709551615_0_7617_5_31">#REF!</definedName>
    <definedName name="z_cr360_0_13282359_18446744073709551615_0_8941_6_16">#REF!</definedName>
    <definedName name="z_cr360_0_13282917_0_0_8940_6_25">#REF!</definedName>
    <definedName name="z_cr360_0_13282917_1_0_8940_6_26">#REF!</definedName>
    <definedName name="z_cr360_0_13282917_18446744073709551612_0_8940_6_21">#REF!</definedName>
    <definedName name="z_cr360_0_13282917_18446744073709551613_0_8940_6_22">#REF!</definedName>
    <definedName name="z_cr360_0_13282917_18446744073709551614_0_8940_6_23">#REF!</definedName>
    <definedName name="z_cr360_0_13282917_18446744073709551615_0_8940_6_24">#REF!</definedName>
    <definedName name="z_cr360_0_14839470_0_0_7609_6_38">#REF!</definedName>
    <definedName name="z_cr360_0_14839470_0_0_8938_6_45">#REF!</definedName>
    <definedName name="z_cr360_0_14839470_0_0_9181_6_20">#REF!</definedName>
    <definedName name="z_cr360_0_14839470_1_0_8938_6_46">#REF!</definedName>
    <definedName name="z_cr360_0_14839470_18446744073709551611_0_7609_6_33">#REF!</definedName>
    <definedName name="z_cr360_0_14839470_18446744073709551611_0_8938_6_40">#REF!</definedName>
    <definedName name="z_cr360_0_14839470_18446744073709551612_0_7609_6_34">#REF!</definedName>
    <definedName name="z_cr360_0_14839470_18446744073709551612_0_8938_6_41">#REF!</definedName>
    <definedName name="z_cr360_0_14839470_18446744073709551612_0_9181_6_16">#REF!</definedName>
    <definedName name="z_cr360_0_14839470_18446744073709551613_0_7609_6_35">#REF!</definedName>
    <definedName name="z_cr360_0_14839470_18446744073709551613_0_8938_6_42">#REF!</definedName>
    <definedName name="z_cr360_0_14839470_18446744073709551613_0_9181_6_17">#REF!</definedName>
    <definedName name="z_cr360_0_14839470_18446744073709551614_0_7609_6_36">#REF!</definedName>
    <definedName name="z_cr360_0_14839470_18446744073709551614_0_8938_6_43">#REF!</definedName>
    <definedName name="z_cr360_0_14839470_18446744073709551614_0_9181_6_18">#REF!</definedName>
    <definedName name="z_cr360_0_14839470_18446744073709551615_0_7609_6_37">#REF!</definedName>
    <definedName name="z_cr360_0_14839470_18446744073709551615_0_8938_6_44">#REF!</definedName>
    <definedName name="z_cr360_0_14839470_18446744073709551615_0_9181_6_19">#REF!</definedName>
    <definedName name="z_cr360_0_15116627_0_0_7615_6_5">#REF!</definedName>
    <definedName name="z_cr360_0_15116627_0_0_7616_6_5">#REF!</definedName>
    <definedName name="z_cr360_0_15116627_0_0_7715_6_5">#REF!</definedName>
    <definedName name="z_cr360_0_15116627_0_0_7716_6_5">#REF!</definedName>
    <definedName name="z_cr360_0_15116627_0_0_8938_6_5">#REF!</definedName>
    <definedName name="z_cr360_0_15116627_0_0_8939_6_5">#REF!</definedName>
    <definedName name="z_cr360_0_15116627_0_0_8940_6_5">#REF!</definedName>
    <definedName name="z_cr360_0_15116627_0_0_8941_6_5">#REF!</definedName>
    <definedName name="z_cr360_0_15147835_0_0_9181_6_90">#REF!</definedName>
    <definedName name="z_cr360_0_15147835_18446744073709551612_0_9181_6_86">#REF!</definedName>
    <definedName name="z_cr360_0_15147835_18446744073709551613_0_9181_6_87">#REF!</definedName>
    <definedName name="z_cr360_0_15147835_18446744073709551614_0_9181_6_88">#REF!</definedName>
    <definedName name="z_cr360_0_15147835_18446744073709551615_0_9181_6_89">#REF!</definedName>
    <definedName name="z_cr360_0_15978396_0_0_5563_8_4">#REF!</definedName>
    <definedName name="z_cr360_0_15978396_0_0_7550_5_58">#REF!</definedName>
    <definedName name="z_cr360_0_15978396_18446744073709551611_0_7550_5_53">#REF!</definedName>
    <definedName name="z_cr360_0_15978396_18446744073709551612_0_5563_8_8">#REF!</definedName>
    <definedName name="z_cr360_0_15978396_18446744073709551612_0_7550_5_54">#REF!</definedName>
    <definedName name="z_cr360_0_15978396_18446744073709551613_0_5563_8_7">#REF!</definedName>
    <definedName name="z_cr360_0_15978396_18446744073709551613_0_7550_5_55">#REF!</definedName>
    <definedName name="z_cr360_0_15978396_18446744073709551614_0_5563_8_6">#REF!</definedName>
    <definedName name="z_cr360_0_15978396_18446744073709551614_0_7550_5_56">#REF!</definedName>
    <definedName name="z_cr360_0_15978396_18446744073709551615_0_5563_8_5">#REF!</definedName>
    <definedName name="z_cr360_0_15978396_18446744073709551615_0_7550_5_57">#REF!</definedName>
    <definedName name="z_cr360_0_15978557_0_0_5563_8_20">#REF!</definedName>
    <definedName name="z_cr360_0_15978557_18446744073709551612_0_5563_8_24">#REF!</definedName>
    <definedName name="z_cr360_0_15978557_18446744073709551613_0_5563_8_23">#REF!</definedName>
    <definedName name="z_cr360_0_15978557_18446744073709551614_0_5563_8_22">#REF!</definedName>
    <definedName name="z_cr360_0_15978557_18446744073709551615_0_5563_8_21">#REF!</definedName>
    <definedName name="z_cr360_0_15986631_0_0_5563_8_40">#REF!</definedName>
    <definedName name="z_cr360_0_15987113_0_0_5563_8_18">#REF!</definedName>
    <definedName name="z_cr360_0_15987115_0_0_5563_8_17">#REF!</definedName>
    <definedName name="z_cr360_0_15987116_0_0_5563_8_16">#REF!</definedName>
    <definedName name="z_cr360_0_15987117_0_0_5563_8_15">#REF!</definedName>
    <definedName name="z_cr360_0_18055770_0_0_11547_6_107">#REF!</definedName>
    <definedName name="z_cr360_0_18055770_0_0_11548_6_128">#REF!</definedName>
    <definedName name="z_cr360_0_18055770_0_0_8938_6_177">#REF!</definedName>
    <definedName name="z_cr360_0_18055770_0_0_9181_6_95">#REF!</definedName>
    <definedName name="z_cr360_0_18055770_0_0_9247_6_38">#REF!</definedName>
    <definedName name="z_cr360_0_18055770_0_0_9653_6_66">#REF!</definedName>
    <definedName name="z_cr360_0_18055770_0_0_9653_6_86">#REF!</definedName>
    <definedName name="z_cr360_0_18055770_0_0_9654_6_103">#REF!</definedName>
    <definedName name="z_cr360_0_18055770_0_0_9654_6_66">#REF!</definedName>
    <definedName name="z_cr360_0_18055770_1_0_11547_6_108">#REF!</definedName>
    <definedName name="z_cr360_0_18055770_1_0_11548_6_129">#REF!</definedName>
    <definedName name="z_cr360_0_18055770_1_0_8938_6_178">#REF!</definedName>
    <definedName name="z_cr360_0_18055770_1_0_9247_6_39">#REF!</definedName>
    <definedName name="z_cr360_0_18055770_1_0_9653_6_67">#REF!</definedName>
    <definedName name="z_cr360_0_18055770_1_0_9653_6_87">#REF!</definedName>
    <definedName name="z_cr360_0_18055770_1_0_9654_6_104">#REF!</definedName>
    <definedName name="z_cr360_0_18055770_1_0_9654_6_67">#REF!</definedName>
    <definedName name="z_cr360_0_18055770_18446744073709551611_0_8938_6_172">#REF!</definedName>
    <definedName name="z_cr360_0_18055770_18446744073709551612_0_11547_6_103">#REF!</definedName>
    <definedName name="z_cr360_0_18055770_18446744073709551612_0_11548_6_124">#REF!</definedName>
    <definedName name="z_cr360_0_18055770_18446744073709551612_0_8938_6_173">#REF!</definedName>
    <definedName name="z_cr360_0_18055770_18446744073709551612_0_9181_6_91">#REF!</definedName>
    <definedName name="z_cr360_0_18055770_18446744073709551613_0_11547_6_104">#REF!</definedName>
    <definedName name="z_cr360_0_18055770_18446744073709551613_0_11548_6_125">#REF!</definedName>
    <definedName name="z_cr360_0_18055770_18446744073709551613_0_8938_6_174">#REF!</definedName>
    <definedName name="z_cr360_0_18055770_18446744073709551613_0_9181_6_92">#REF!</definedName>
    <definedName name="z_cr360_0_18055770_18446744073709551613_0_9247_6_35">#REF!</definedName>
    <definedName name="z_cr360_0_18055770_18446744073709551613_0_9653_6_63">#REF!</definedName>
    <definedName name="z_cr360_0_18055770_18446744073709551613_0_9653_6_83">#REF!</definedName>
    <definedName name="z_cr360_0_18055770_18446744073709551613_0_9654_6_100">#REF!</definedName>
    <definedName name="z_cr360_0_18055770_18446744073709551613_0_9654_6_63">#REF!</definedName>
    <definedName name="z_cr360_0_18055770_18446744073709551614_0_11547_6_105">#REF!</definedName>
    <definedName name="z_cr360_0_18055770_18446744073709551614_0_11548_6_126">#REF!</definedName>
    <definedName name="z_cr360_0_18055770_18446744073709551614_0_8938_6_175">#REF!</definedName>
    <definedName name="z_cr360_0_18055770_18446744073709551614_0_9181_6_93">#REF!</definedName>
    <definedName name="z_cr360_0_18055770_18446744073709551614_0_9247_6_36">#REF!</definedName>
    <definedName name="z_cr360_0_18055770_18446744073709551614_0_9653_6_64">#REF!</definedName>
    <definedName name="z_cr360_0_18055770_18446744073709551614_0_9653_6_84">#REF!</definedName>
    <definedName name="z_cr360_0_18055770_18446744073709551614_0_9654_6_101">#REF!</definedName>
    <definedName name="z_cr360_0_18055770_18446744073709551614_0_9654_6_64">#REF!</definedName>
    <definedName name="z_cr360_0_18055770_18446744073709551615_0_11547_6_106">#REF!</definedName>
    <definedName name="z_cr360_0_18055770_18446744073709551615_0_11548_6_127">#REF!</definedName>
    <definedName name="z_cr360_0_18055770_18446744073709551615_0_8938_6_176">#REF!</definedName>
    <definedName name="z_cr360_0_18055770_18446744073709551615_0_9181_6_94">#REF!</definedName>
    <definedName name="z_cr360_0_18055770_18446744073709551615_0_9247_6_37">#REF!</definedName>
    <definedName name="z_cr360_0_18055770_18446744073709551615_0_9653_6_65">#REF!</definedName>
    <definedName name="z_cr360_0_18055770_18446744073709551615_0_9653_6_85">#REF!</definedName>
    <definedName name="z_cr360_0_18055770_18446744073709551615_0_9654_6_102">#REF!</definedName>
    <definedName name="z_cr360_0_18055770_18446744073709551615_0_9654_6_65">#REF!</definedName>
    <definedName name="z_cr360_0_18055770_2_0_11547_6_109">#REF!</definedName>
    <definedName name="z_cr360_0_18055770_2_0_11548_6_130">#REF!</definedName>
    <definedName name="z_cr360_0_18055770_2_0_9247_6_40">#REF!</definedName>
    <definedName name="z_cr360_0_18055770_2_0_9653_6_68">#REF!</definedName>
    <definedName name="z_cr360_0_18055770_2_0_9653_6_88">#REF!</definedName>
    <definedName name="z_cr360_0_18055770_2_0_9654_6_105">#REF!</definedName>
    <definedName name="z_cr360_0_18055770_2_0_9654_6_68">#REF!</definedName>
    <definedName name="z_cr360_0_18055770_3_0_11547_6_110">#REF!</definedName>
    <definedName name="z_cr360_0_18055770_3_0_11548_6_131">#REF!</definedName>
    <definedName name="z_cr360_0_18055770_3_0_9653_6_89">#REF!</definedName>
    <definedName name="z_cr360_0_18055770_3_0_9654_6_106">#REF!</definedName>
    <definedName name="z_cr360_0_18055770_4_0_11547_6_111">#REF!</definedName>
    <definedName name="z_cr360_0_18055770_4_0_11548_6_132">#REF!</definedName>
    <definedName name="z_cr360_0_18055770_4_0_9653_6_90">#REF!</definedName>
    <definedName name="z_cr360_0_18055770_4_0_9654_6_107">#REF!</definedName>
    <definedName name="z_cr360_0_18055770_5_0_11547_6_112">#REF!</definedName>
    <definedName name="z_cr360_0_18055770_5_0_11548_6_133">#REF!</definedName>
    <definedName name="z_cr360_0_18055771_0_0_11547_6_117">#REF!</definedName>
    <definedName name="z_cr360_0_18055771_0_0_11548_6_138">#REF!</definedName>
    <definedName name="z_cr360_0_18055771_0_0_8938_6_185">#REF!</definedName>
    <definedName name="z_cr360_0_18055771_0_0_9181_6_100">#REF!</definedName>
    <definedName name="z_cr360_0_18055771_0_0_9653_6_72">#REF!</definedName>
    <definedName name="z_cr360_0_18055771_0_0_9653_6_94">#REF!</definedName>
    <definedName name="z_cr360_0_18055771_0_0_9654_6_111">#REF!</definedName>
    <definedName name="z_cr360_0_18055771_0_0_9654_6_72">#REF!</definedName>
    <definedName name="z_cr360_0_18055771_1_0_11547_6_118">#REF!</definedName>
    <definedName name="z_cr360_0_18055771_1_0_11548_6_139">#REF!</definedName>
    <definedName name="z_cr360_0_18055771_1_0_8938_6_186">#REF!</definedName>
    <definedName name="z_cr360_0_18055771_1_0_9653_6_73">#REF!</definedName>
    <definedName name="z_cr360_0_18055771_1_0_9653_6_95">#REF!</definedName>
    <definedName name="z_cr360_0_18055771_1_0_9654_6_112">#REF!</definedName>
    <definedName name="z_cr360_0_18055771_1_0_9654_6_73">#REF!</definedName>
    <definedName name="z_cr360_0_18055771_18446744073709551611_0_8938_6_180">#REF!</definedName>
    <definedName name="z_cr360_0_18055771_18446744073709551612_0_11547_6_113">#REF!</definedName>
    <definedName name="z_cr360_0_18055771_18446744073709551612_0_11548_6_134">#REF!</definedName>
    <definedName name="z_cr360_0_18055771_18446744073709551612_0_8938_6_181">#REF!</definedName>
    <definedName name="z_cr360_0_18055771_18446744073709551612_0_9181_6_96">#REF!</definedName>
    <definedName name="z_cr360_0_18055771_18446744073709551613_0_11547_6_114">#REF!</definedName>
    <definedName name="z_cr360_0_18055771_18446744073709551613_0_11548_6_135">#REF!</definedName>
    <definedName name="z_cr360_0_18055771_18446744073709551613_0_8938_6_182">#REF!</definedName>
    <definedName name="z_cr360_0_18055771_18446744073709551613_0_9181_6_97">#REF!</definedName>
    <definedName name="z_cr360_0_18055771_18446744073709551613_0_9653_6_69">#REF!</definedName>
    <definedName name="z_cr360_0_18055771_18446744073709551613_0_9653_6_91">#REF!</definedName>
    <definedName name="z_cr360_0_18055771_18446744073709551613_0_9654_6_108">#REF!</definedName>
    <definedName name="z_cr360_0_18055771_18446744073709551613_0_9654_6_69">#REF!</definedName>
    <definedName name="z_cr360_0_18055771_18446744073709551614_0_11547_6_115">#REF!</definedName>
    <definedName name="z_cr360_0_18055771_18446744073709551614_0_11548_6_136">#REF!</definedName>
    <definedName name="z_cr360_0_18055771_18446744073709551614_0_8938_6_183">#REF!</definedName>
    <definedName name="z_cr360_0_18055771_18446744073709551614_0_9181_6_98">#REF!</definedName>
    <definedName name="z_cr360_0_18055771_18446744073709551614_0_9653_6_70">#REF!</definedName>
    <definedName name="z_cr360_0_18055771_18446744073709551614_0_9653_6_92">#REF!</definedName>
    <definedName name="z_cr360_0_18055771_18446744073709551614_0_9654_6_109">#REF!</definedName>
    <definedName name="z_cr360_0_18055771_18446744073709551614_0_9654_6_70">#REF!</definedName>
    <definedName name="z_cr360_0_18055771_18446744073709551615_0_11547_6_116">#REF!</definedName>
    <definedName name="z_cr360_0_18055771_18446744073709551615_0_11548_6_137">#REF!</definedName>
    <definedName name="z_cr360_0_18055771_18446744073709551615_0_8938_6_184">#REF!</definedName>
    <definedName name="z_cr360_0_18055771_18446744073709551615_0_9181_6_99">#REF!</definedName>
    <definedName name="z_cr360_0_18055771_18446744073709551615_0_9653_6_71">#REF!</definedName>
    <definedName name="z_cr360_0_18055771_18446744073709551615_0_9653_6_93">#REF!</definedName>
    <definedName name="z_cr360_0_18055771_18446744073709551615_0_9654_6_110">#REF!</definedName>
    <definedName name="z_cr360_0_18055771_18446744073709551615_0_9654_6_71">#REF!</definedName>
    <definedName name="z_cr360_0_18055771_2_0_11547_6_119">#REF!</definedName>
    <definedName name="z_cr360_0_18055771_2_0_11548_6_140">#REF!</definedName>
    <definedName name="z_cr360_0_18055771_2_0_9653_6_74">#REF!</definedName>
    <definedName name="z_cr360_0_18055771_2_0_9653_6_96">#REF!</definedName>
    <definedName name="z_cr360_0_18055771_2_0_9654_6_113">#REF!</definedName>
    <definedName name="z_cr360_0_18055771_2_0_9654_6_74">#REF!</definedName>
    <definedName name="z_cr360_0_18055771_3_0_11547_6_120">#REF!</definedName>
    <definedName name="z_cr360_0_18055771_3_0_11548_6_141">#REF!</definedName>
    <definedName name="z_cr360_0_18055771_3_0_9653_6_97">#REF!</definedName>
    <definedName name="z_cr360_0_18055771_3_0_9654_6_114">#REF!</definedName>
    <definedName name="z_cr360_0_18055771_4_0_11547_6_121">#REF!</definedName>
    <definedName name="z_cr360_0_18055771_4_0_11548_6_142">#REF!</definedName>
    <definedName name="z_cr360_0_18055771_4_0_9653_6_98">#REF!</definedName>
    <definedName name="z_cr360_0_18055771_4_0_9654_6_115">#REF!</definedName>
    <definedName name="z_cr360_0_18055771_5_0_11547_6_122">#REF!</definedName>
    <definedName name="z_cr360_0_18055771_5_0_11548_6_143">#REF!</definedName>
    <definedName name="z_cr360_0_18055772_0_0_8938_6_193">#REF!</definedName>
    <definedName name="z_cr360_0_18055772_0_0_9181_6_105">#REF!</definedName>
    <definedName name="z_cr360_0_18055772_0_0_9653_6_78">#REF!</definedName>
    <definedName name="z_cr360_0_18055772_0_0_9654_6_78">#REF!</definedName>
    <definedName name="z_cr360_0_18055772_1_0_8938_6_194">#REF!</definedName>
    <definedName name="z_cr360_0_18055772_1_0_9653_6_79">#REF!</definedName>
    <definedName name="z_cr360_0_18055772_1_0_9654_6_79">#REF!</definedName>
    <definedName name="z_cr360_0_18055772_18446744073709551611_0_8938_6_188">#REF!</definedName>
    <definedName name="z_cr360_0_18055772_18446744073709551612_0_8938_6_189">#REF!</definedName>
    <definedName name="z_cr360_0_18055772_18446744073709551612_0_9181_6_101">#REF!</definedName>
    <definedName name="z_cr360_0_18055772_18446744073709551613_0_8938_6_190">#REF!</definedName>
    <definedName name="z_cr360_0_18055772_18446744073709551613_0_9181_6_102">#REF!</definedName>
    <definedName name="z_cr360_0_18055772_18446744073709551613_0_9653_6_75">#REF!</definedName>
    <definedName name="z_cr360_0_18055772_18446744073709551613_0_9654_6_75">#REF!</definedName>
    <definedName name="z_cr360_0_18055772_18446744073709551614_0_8938_6_191">#REF!</definedName>
    <definedName name="z_cr360_0_18055772_18446744073709551614_0_9181_6_103">#REF!</definedName>
    <definedName name="z_cr360_0_18055772_18446744073709551614_0_9653_6_76">#REF!</definedName>
    <definedName name="z_cr360_0_18055772_18446744073709551614_0_9654_6_76">#REF!</definedName>
    <definedName name="z_cr360_0_18055772_18446744073709551615_0_8938_6_192">#REF!</definedName>
    <definedName name="z_cr360_0_18055772_18446744073709551615_0_9181_6_104">#REF!</definedName>
    <definedName name="z_cr360_0_18055772_18446744073709551615_0_9653_6_77">#REF!</definedName>
    <definedName name="z_cr360_0_18055772_18446744073709551615_0_9654_6_77">#REF!</definedName>
    <definedName name="z_cr360_0_18055772_2_0_9653_6_80">#REF!</definedName>
    <definedName name="z_cr360_0_18055772_2_0_9654_6_80">#REF!</definedName>
    <definedName name="z_cr360_0_18055773_0_0_7617_5_69">#REF!</definedName>
    <definedName name="z_cr360_0_18055773_0_0_8939_6_92">#REF!</definedName>
    <definedName name="z_cr360_0_18055773_0_0_9181_6_121">#REF!</definedName>
    <definedName name="z_cr360_0_18055773_0_0_9653_6_97">#REF!</definedName>
    <definedName name="z_cr360_0_18055773_0_0_9654_6_97">#REF!</definedName>
    <definedName name="z_cr360_0_18055773_1_0_8939_6_93">#REF!</definedName>
    <definedName name="z_cr360_0_18055773_1_0_9653_6_98">#REF!</definedName>
    <definedName name="z_cr360_0_18055773_1_0_9654_6_98">#REF!</definedName>
    <definedName name="z_cr360_0_18055773_18446744073709551611_0_7617_5_64">#REF!</definedName>
    <definedName name="z_cr360_0_18055773_18446744073709551611_0_8939_6_87">#REF!</definedName>
    <definedName name="z_cr360_0_18055773_18446744073709551612_0_7617_5_65">#REF!</definedName>
    <definedName name="z_cr360_0_18055773_18446744073709551612_0_8939_6_88">#REF!</definedName>
    <definedName name="z_cr360_0_18055773_18446744073709551612_0_9181_6_117">#REF!</definedName>
    <definedName name="z_cr360_0_18055773_18446744073709551613_0_7617_5_66">#REF!</definedName>
    <definedName name="z_cr360_0_18055773_18446744073709551613_0_8939_6_89">#REF!</definedName>
    <definedName name="z_cr360_0_18055773_18446744073709551613_0_9181_6_118">#REF!</definedName>
    <definedName name="z_cr360_0_18055773_18446744073709551613_0_9653_6_94">#REF!</definedName>
    <definedName name="z_cr360_0_18055773_18446744073709551613_0_9654_6_94">#REF!</definedName>
    <definedName name="z_cr360_0_18055773_18446744073709551614_0_7617_5_67">#REF!</definedName>
    <definedName name="z_cr360_0_18055773_18446744073709551614_0_8939_6_90">#REF!</definedName>
    <definedName name="z_cr360_0_18055773_18446744073709551614_0_9181_6_119">#REF!</definedName>
    <definedName name="z_cr360_0_18055773_18446744073709551614_0_9653_6_95">#REF!</definedName>
    <definedName name="z_cr360_0_18055773_18446744073709551614_0_9654_6_95">#REF!</definedName>
    <definedName name="z_cr360_0_18055773_18446744073709551615_0_7617_5_68">#REF!</definedName>
    <definedName name="z_cr360_0_18055773_18446744073709551615_0_8939_6_91">#REF!</definedName>
    <definedName name="z_cr360_0_18055773_18446744073709551615_0_9181_6_120">#REF!</definedName>
    <definedName name="z_cr360_0_18055773_18446744073709551615_0_9653_6_96">#REF!</definedName>
    <definedName name="z_cr360_0_18055773_18446744073709551615_0_9654_6_96">#REF!</definedName>
    <definedName name="z_cr360_0_18055773_2_0_9653_6_99">#REF!</definedName>
    <definedName name="z_cr360_0_18055773_2_0_9654_6_99">#REF!</definedName>
    <definedName name="z_cr360_0_18109792_0_0_7550_5_11">#REF!</definedName>
    <definedName name="z_cr360_0_18109792_0_0_7551_5_11">#REF!</definedName>
    <definedName name="z_cr360_0_18109792_0_0_7552_5_11">#REF!</definedName>
    <definedName name="z_cr360_0_18109792_0_0_8943_6_12">#REF!</definedName>
    <definedName name="z_cr360_0_18109792_1_0_8942_3_5">#REF!</definedName>
    <definedName name="z_cr360_0_18109792_1_0_8943_6_13">#REF!</definedName>
    <definedName name="z_cr360_0_18109792_18446744073709551611_0_7550_5_10">#REF!</definedName>
    <definedName name="z_cr360_0_18109792_18446744073709551611_0_7551_5_10">#REF!</definedName>
    <definedName name="z_cr360_0_18109792_18446744073709551611_0_7552_5_10">#REF!</definedName>
    <definedName name="z_cr360_0_18109792_18446744073709551611_0_8943_6_7">#REF!</definedName>
    <definedName name="z_cr360_0_18109792_18446744073709551612_0_8943_6_8">#REF!</definedName>
    <definedName name="z_cr360_0_18109792_18446744073709551613_0_8943_6_9">#REF!</definedName>
    <definedName name="z_cr360_0_18109792_18446744073709551614_0_8943_6_10">#REF!</definedName>
    <definedName name="z_cr360_0_18109792_18446744073709551615_0_8943_6_11">#REF!</definedName>
    <definedName name="z_cr360_0_18322796_0_0_7550_5_15">#REF!</definedName>
    <definedName name="z_cr360_0_18322796_0_0_7551_5_15">#REF!</definedName>
    <definedName name="z_cr360_0_18322796_0_0_7552_5_15">#REF!</definedName>
    <definedName name="z_cr360_0_18322796_0_0_8943_6_20">#REF!</definedName>
    <definedName name="z_cr360_0_18322796_1_0_8943_6_21">#REF!</definedName>
    <definedName name="z_cr360_0_18322796_18446744073709551611_0_7550_5_14">#REF!</definedName>
    <definedName name="z_cr360_0_18322796_18446744073709551611_0_7551_5_14">#REF!</definedName>
    <definedName name="z_cr360_0_18322796_18446744073709551611_0_7552_5_14">#REF!</definedName>
    <definedName name="z_cr360_0_18322796_18446744073709551611_0_8943_6_15">#REF!</definedName>
    <definedName name="z_cr360_0_18322796_18446744073709551612_0_8943_6_16">#REF!</definedName>
    <definedName name="z_cr360_0_18322796_18446744073709551613_0_8943_6_17">#REF!</definedName>
    <definedName name="z_cr360_0_18322796_18446744073709551614_0_8943_6_18">#REF!</definedName>
    <definedName name="z_cr360_0_18322796_18446744073709551615_0_8943_6_19">#REF!</definedName>
    <definedName name="z_cr360_0_18445398_0_0_7550_5_67">#REF!</definedName>
    <definedName name="z_cr360_0_18445398_18446744073709551611_0_7550_5_62">#REF!</definedName>
    <definedName name="z_cr360_0_18445398_18446744073709551612_0_7550_5_63">#REF!</definedName>
    <definedName name="z_cr360_0_18445398_18446744073709551613_0_7550_5_64">#REF!</definedName>
    <definedName name="z_cr360_0_18445398_18446744073709551614_0_7550_5_65">#REF!</definedName>
    <definedName name="z_cr360_0_18445398_18446744073709551615_0_7550_5_66">#REF!</definedName>
    <definedName name="z_cr360_0_18744895_0_0_8474_6_95">#REF!</definedName>
    <definedName name="z_cr360_0_18744895_1_0_8474_6_96">#REF!</definedName>
    <definedName name="z_cr360_0_18744895_18446744073709551611_0_8474_6_90">#REF!</definedName>
    <definedName name="z_cr360_0_18744895_18446744073709551612_0_8474_6_91">#REF!</definedName>
    <definedName name="z_cr360_0_18744895_18446744073709551613_0_8474_6_92">#REF!</definedName>
    <definedName name="z_cr360_0_18744895_18446744073709551614_0_8474_6_93">#REF!</definedName>
    <definedName name="z_cr360_0_18744895_18446744073709551615_0_8474_6_94">#REF!</definedName>
    <definedName name="z_cr360_0_19176575_0_0_7609_6_102">#REF!</definedName>
    <definedName name="z_cr360_0_19176575_0_0_8938_6_144">#REF!</definedName>
    <definedName name="z_cr360_0_19176575_0_0_9181_6_68">#REF!</definedName>
    <definedName name="z_cr360_0_19176575_1_0_8938_6_145">#REF!</definedName>
    <definedName name="z_cr360_0_19176575_18446744073709551611_0_7609_6_97">#REF!</definedName>
    <definedName name="z_cr360_0_19176575_18446744073709551611_0_8938_6_139">#REF!</definedName>
    <definedName name="z_cr360_0_19176575_18446744073709551612_0_7609_6_98">#REF!</definedName>
    <definedName name="z_cr360_0_19176575_18446744073709551612_0_8938_6_140">#REF!</definedName>
    <definedName name="z_cr360_0_19176575_18446744073709551612_0_9181_6_64">#REF!</definedName>
    <definedName name="z_cr360_0_19176575_18446744073709551613_0_7609_6_99">#REF!</definedName>
    <definedName name="z_cr360_0_19176575_18446744073709551613_0_8938_6_141">#REF!</definedName>
    <definedName name="z_cr360_0_19176575_18446744073709551613_0_9181_6_65">#REF!</definedName>
    <definedName name="z_cr360_0_19176575_18446744073709551614_0_7609_6_100">#REF!</definedName>
    <definedName name="z_cr360_0_19176575_18446744073709551614_0_8938_6_142">#REF!</definedName>
    <definedName name="z_cr360_0_19176575_18446744073709551614_0_9181_6_66">#REF!</definedName>
    <definedName name="z_cr360_0_19176575_18446744073709551615_0_7609_6_101">#REF!</definedName>
    <definedName name="z_cr360_0_19176575_18446744073709551615_0_8938_6_143">#REF!</definedName>
    <definedName name="z_cr360_0_19176575_18446744073709551615_0_9181_6_67">#REF!</definedName>
    <definedName name="z_cr360_0_19199154_0_0_7550_5_85">#REF!</definedName>
    <definedName name="z_cr360_0_19199154_18446744073709551611_0_7550_5_80">#REF!</definedName>
    <definedName name="z_cr360_0_19199154_18446744073709551612_0_7550_5_81">#REF!</definedName>
    <definedName name="z_cr360_0_19199154_18446744073709551613_0_7550_5_82">#REF!</definedName>
    <definedName name="z_cr360_0_19199154_18446744073709551614_0_7550_5_83">#REF!</definedName>
    <definedName name="z_cr360_0_19199154_18446744073709551615_0_7550_5_84">#REF!</definedName>
    <definedName name="z_cr360_0_19199864_0_0_7615_6_69">#REF!</definedName>
    <definedName name="z_cr360_0_19199864_0_0_8939_6_108">#REF!</definedName>
    <definedName name="z_cr360_0_19199864_1_0_8939_6_109">#REF!</definedName>
    <definedName name="z_cr360_0_19199864_18446744073709551611_0_7615_6_64">#REF!</definedName>
    <definedName name="z_cr360_0_19199864_18446744073709551611_0_8939_6_103">#REF!</definedName>
    <definedName name="z_cr360_0_19199864_18446744073709551612_0_7615_6_65">#REF!</definedName>
    <definedName name="z_cr360_0_19199864_18446744073709551612_0_8939_6_104">#REF!</definedName>
    <definedName name="z_cr360_0_19199864_18446744073709551613_0_7615_6_66">#REF!</definedName>
    <definedName name="z_cr360_0_19199864_18446744073709551613_0_8939_6_105">#REF!</definedName>
    <definedName name="z_cr360_0_19199864_18446744073709551614_0_7615_6_67">#REF!</definedName>
    <definedName name="z_cr360_0_19199864_18446744073709551614_0_8939_6_106">#REF!</definedName>
    <definedName name="z_cr360_0_19199864_18446744073709551615_0_7615_6_68">#REF!</definedName>
    <definedName name="z_cr360_0_19199864_18446744073709551615_0_8939_6_107">#REF!</definedName>
    <definedName name="z_cr360_0_19235010_0_0_7615_6_55">#REF!</definedName>
    <definedName name="z_cr360_0_19235010_0_0_8939_6_84">#REF!</definedName>
    <definedName name="z_cr360_0_19235010_1_0_8939_6_85">#REF!</definedName>
    <definedName name="z_cr360_0_19235010_18446744073709551611_0_7615_6_50">#REF!</definedName>
    <definedName name="z_cr360_0_19235010_18446744073709551611_0_8939_6_79">#REF!</definedName>
    <definedName name="z_cr360_0_19235010_18446744073709551612_0_7615_6_51">#REF!</definedName>
    <definedName name="z_cr360_0_19235010_18446744073709551612_0_8939_6_80">#REF!</definedName>
    <definedName name="z_cr360_0_19235010_18446744073709551613_0_7615_6_52">#REF!</definedName>
    <definedName name="z_cr360_0_19235010_18446744073709551613_0_8939_6_81">#REF!</definedName>
    <definedName name="z_cr360_0_19235010_18446744073709551614_0_7615_6_53">#REF!</definedName>
    <definedName name="z_cr360_0_19235010_18446744073709551614_0_8939_6_82">#REF!</definedName>
    <definedName name="z_cr360_0_19235010_18446744073709551615_0_7615_6_54">#REF!</definedName>
    <definedName name="z_cr360_0_19235010_18446744073709551615_0_8939_6_83">#REF!</definedName>
    <definedName name="z_cr360_0_19235359_0_0_7616_6_15">#REF!</definedName>
    <definedName name="z_cr360_0_19235359_0_0_8567_6_39">#REF!</definedName>
    <definedName name="z_cr360_0_19235359_1_0_8567_6_40">#REF!</definedName>
    <definedName name="z_cr360_0_19235359_18446744073709551611_0_7616_6_10">#REF!</definedName>
    <definedName name="z_cr360_0_19235359_18446744073709551611_0_8567_6_34">#REF!</definedName>
    <definedName name="z_cr360_0_19235359_18446744073709551612_0_7616_6_11">#REF!</definedName>
    <definedName name="z_cr360_0_19235359_18446744073709551612_0_8567_6_35">#REF!</definedName>
    <definedName name="z_cr360_0_19235359_18446744073709551613_0_7616_6_12">#REF!</definedName>
    <definedName name="z_cr360_0_19235359_18446744073709551613_0_8567_6_36">#REF!</definedName>
    <definedName name="z_cr360_0_19235359_18446744073709551614_0_7616_6_13">#REF!</definedName>
    <definedName name="z_cr360_0_19235359_18446744073709551614_0_8567_6_37">#REF!</definedName>
    <definedName name="z_cr360_0_19235359_18446744073709551615_0_7616_6_14">#REF!</definedName>
    <definedName name="z_cr360_0_19235359_18446744073709551615_0_8567_6_38">#REF!</definedName>
    <definedName name="z_cr360_0_19236353_0_0_7617_5_76">#REF!</definedName>
    <definedName name="z_cr360_0_19236353_0_0_8940_6_138">#REF!</definedName>
    <definedName name="z_cr360_0_19236353_0_0_9181_6_136">#REF!</definedName>
    <definedName name="z_cr360_0_19236353_0_0_9653_6_114">#REF!</definedName>
    <definedName name="z_cr360_0_19236353_0_0_9654_6_114">#REF!</definedName>
    <definedName name="z_cr360_0_19236353_1_0_8940_6_139">#REF!</definedName>
    <definedName name="z_cr360_0_19236353_1_0_9653_6_115">#REF!</definedName>
    <definedName name="z_cr360_0_19236353_1_0_9654_6_115">#REF!</definedName>
    <definedName name="z_cr360_0_19236353_18446744073709551611_0_7617_5_71">#REF!</definedName>
    <definedName name="z_cr360_0_19236353_18446744073709551612_0_7617_5_72">#REF!</definedName>
    <definedName name="z_cr360_0_19236353_18446744073709551613_0_7617_5_73">#REF!</definedName>
    <definedName name="z_cr360_0_19236353_18446744073709551613_0_8940_6_135">#REF!</definedName>
    <definedName name="z_cr360_0_19236353_18446744073709551613_0_9181_6_133">#REF!</definedName>
    <definedName name="z_cr360_0_19236353_18446744073709551613_0_9653_6_112">#REF!</definedName>
    <definedName name="z_cr360_0_19236353_18446744073709551613_0_9654_6_112">#REF!</definedName>
    <definedName name="z_cr360_0_19236353_18446744073709551614_0_7617_5_74">#REF!</definedName>
    <definedName name="z_cr360_0_19236353_18446744073709551614_0_8940_6_136">#REF!</definedName>
    <definedName name="z_cr360_0_19236353_18446744073709551614_0_9181_6_134">#REF!</definedName>
    <definedName name="z_cr360_0_19236353_18446744073709551615_0_7617_5_75">#REF!</definedName>
    <definedName name="z_cr360_0_19236353_18446744073709551615_0_8940_6_137">#REF!</definedName>
    <definedName name="z_cr360_0_19236353_18446744073709551615_0_9181_6_135">#REF!</definedName>
    <definedName name="z_cr360_0_19236353_18446744073709551615_0_9653_6_113">#REF!</definedName>
    <definedName name="z_cr360_0_19236353_18446744073709551615_0_9654_6_113">#REF!</definedName>
    <definedName name="z_cr360_0_19236353_2_0_9653_6_116">#REF!</definedName>
    <definedName name="z_cr360_0_19236353_2_0_9654_6_116">#REF!</definedName>
    <definedName name="z_cr360_0_19236377_0_0_7616_6_63">#REF!</definedName>
    <definedName name="z_cr360_0_19236377_0_0_8940_6_131">#REF!</definedName>
    <definedName name="z_cr360_0_19236377_1_0_8940_6_132">#REF!</definedName>
    <definedName name="z_cr360_0_19236377_18446744073709551611_0_7616_6_58">#REF!</definedName>
    <definedName name="z_cr360_0_19236377_18446744073709551611_0_8567_6_145">#REF!</definedName>
    <definedName name="z_cr360_0_19236377_18446744073709551612_0_7616_6_59">#REF!</definedName>
    <definedName name="z_cr360_0_19236377_18446744073709551612_0_8940_6_127">#REF!</definedName>
    <definedName name="z_cr360_0_19236377_18446744073709551613_0_7616_6_60">#REF!</definedName>
    <definedName name="z_cr360_0_19236377_18446744073709551613_0_8940_6_128">#REF!</definedName>
    <definedName name="z_cr360_0_19236377_18446744073709551614_0_7616_6_61">#REF!</definedName>
    <definedName name="z_cr360_0_19236377_18446744073709551614_0_8940_6_129">#REF!</definedName>
    <definedName name="z_cr360_0_19236377_18446744073709551615_0_7616_6_62">#REF!</definedName>
    <definedName name="z_cr360_0_19236377_18446744073709551615_0_8940_6_130">#REF!</definedName>
    <definedName name="z_cr360_0_19248617_0_0_7609_6_28">#REF!</definedName>
    <definedName name="z_cr360_0_19248617_0_0_8938_6_34">#REF!</definedName>
    <definedName name="z_cr360_0_19248617_0_0_9181_6_15">#REF!</definedName>
    <definedName name="z_cr360_0_19248617_1_0_8938_6_35">#REF!</definedName>
    <definedName name="z_cr360_0_19248617_18446744073709551611_0_7609_6_23">#REF!</definedName>
    <definedName name="z_cr360_0_19248617_18446744073709551611_0_8938_6_29">#REF!</definedName>
    <definedName name="z_cr360_0_19248617_18446744073709551612_0_7609_6_24">#REF!</definedName>
    <definedName name="z_cr360_0_19248617_18446744073709551612_0_8938_6_30">#REF!</definedName>
    <definedName name="z_cr360_0_19248617_18446744073709551612_0_9181_6_11">#REF!</definedName>
    <definedName name="z_cr360_0_19248617_18446744073709551613_0_7609_6_25">#REF!</definedName>
    <definedName name="z_cr360_0_19248617_18446744073709551613_0_8938_6_31">#REF!</definedName>
    <definedName name="z_cr360_0_19248617_18446744073709551613_0_9181_6_12">#REF!</definedName>
    <definedName name="z_cr360_0_19248617_18446744073709551614_0_7609_6_26">#REF!</definedName>
    <definedName name="z_cr360_0_19248617_18446744073709551614_0_8938_6_32">#REF!</definedName>
    <definedName name="z_cr360_0_19248617_18446744073709551614_0_9181_6_13">#REF!</definedName>
    <definedName name="z_cr360_0_19248617_18446744073709551615_0_7609_6_27">#REF!</definedName>
    <definedName name="z_cr360_0_19248617_18446744073709551615_0_8938_6_33">#REF!</definedName>
    <definedName name="z_cr360_0_19248617_18446744073709551615_0_9181_6_14">#REF!</definedName>
    <definedName name="z_cr360_0_19252690_0_0_7609_6_88">#REF!</definedName>
    <definedName name="z_cr360_0_19252690_0_0_8938_6_100">#REF!</definedName>
    <definedName name="z_cr360_0_19252690_1_0_8938_6_101">#REF!</definedName>
    <definedName name="z_cr360_0_19252690_18446744073709551611_0_7609_6_83">#REF!</definedName>
    <definedName name="z_cr360_0_19252690_18446744073709551611_0_8938_6_95">#REF!</definedName>
    <definedName name="z_cr360_0_19252690_18446744073709551612_0_7609_6_84">#REF!</definedName>
    <definedName name="z_cr360_0_19252690_18446744073709551612_0_8938_6_96">#REF!</definedName>
    <definedName name="z_cr360_0_19252690_18446744073709551613_0_7609_6_85">#REF!</definedName>
    <definedName name="z_cr360_0_19252690_18446744073709551613_0_8938_6_97">#REF!</definedName>
    <definedName name="z_cr360_0_19252690_18446744073709551614_0_7609_6_86">#REF!</definedName>
    <definedName name="z_cr360_0_19252690_18446744073709551614_0_8938_6_98">#REF!</definedName>
    <definedName name="z_cr360_0_19252690_18446744073709551615_0_7609_6_87">#REF!</definedName>
    <definedName name="z_cr360_0_19252690_18446744073709551615_0_8938_6_99">#REF!</definedName>
    <definedName name="z_cr360_0_20341803_0_0_7609_6_68">#REF!</definedName>
    <definedName name="z_cr360_0_20341803_0_0_8938_6_78">#REF!</definedName>
    <definedName name="z_cr360_0_20341803_1_0_8938_6_79">#REF!</definedName>
    <definedName name="z_cr360_0_20341803_18446744073709551611_0_7609_6_63">#REF!</definedName>
    <definedName name="z_cr360_0_20341803_18446744073709551611_0_8938_6_73">#REF!</definedName>
    <definedName name="z_cr360_0_20341803_18446744073709551611_0_9181_6_37">#REF!</definedName>
    <definedName name="z_cr360_0_20341803_18446744073709551612_0_7609_6_64">#REF!</definedName>
    <definedName name="z_cr360_0_20341803_18446744073709551612_0_8938_6_74">#REF!</definedName>
    <definedName name="z_cr360_0_20341803_18446744073709551612_0_9181_6_38">#REF!</definedName>
    <definedName name="z_cr360_0_20341803_18446744073709551613_0_7609_6_65">#REF!</definedName>
    <definedName name="z_cr360_0_20341803_18446744073709551613_0_8938_6_75">#REF!</definedName>
    <definedName name="z_cr360_0_20341803_18446744073709551613_0_9181_6_39">#REF!</definedName>
    <definedName name="z_cr360_0_20341803_18446744073709551614_0_7609_6_66">#REF!</definedName>
    <definedName name="z_cr360_0_20341803_18446744073709551614_0_8938_6_76">#REF!</definedName>
    <definedName name="z_cr360_0_20341803_18446744073709551614_0_9181_6_40">#REF!</definedName>
    <definedName name="z_cr360_0_20341803_18446744073709551615_0_7609_6_67">#REF!</definedName>
    <definedName name="z_cr360_0_20341803_18446744073709551615_0_8938_6_77">#REF!</definedName>
    <definedName name="z_cr360_0_20341803_18446744073709551615_0_9181_6_41">#REF!</definedName>
    <definedName name="z_cr360_0_21414862_3_0_11548_6_43">#REF!</definedName>
    <definedName name="z_cr360_0_21414862_4_0_11547_6_34">#REF!</definedName>
    <definedName name="z_cr360_0_21414862_4_0_11548_6_44">#REF!</definedName>
    <definedName name="z_cr360_0_21414862_4_0_9654_6_37">#REF!</definedName>
    <definedName name="z_cr360_0_21414862_5_0_11547_6_35">#REF!</definedName>
    <definedName name="z_cr360_0_21414862_5_0_11548_6_45">#REF!</definedName>
    <definedName name="z_cr360_0_21474151_0_0_11547_6_127">#REF!</definedName>
    <definedName name="z_cr360_0_21474151_0_0_11548_6_148">#REF!</definedName>
    <definedName name="z_cr360_0_21474151_0_0_8938_6_201">#REF!</definedName>
    <definedName name="z_cr360_0_21474151_0_0_9181_6_110">#REF!</definedName>
    <definedName name="z_cr360_0_21474151_0_0_9247_6_44">#REF!</definedName>
    <definedName name="z_cr360_0_21474151_0_0_9653_6_102">#REF!</definedName>
    <definedName name="z_cr360_0_21474151_0_0_9653_6_84">#REF!</definedName>
    <definedName name="z_cr360_0_21474151_0_0_9654_6_119">#REF!</definedName>
    <definedName name="z_cr360_0_21474151_0_0_9654_6_84">#REF!</definedName>
    <definedName name="z_cr360_0_21474151_1_0_11547_6_128">#REF!</definedName>
    <definedName name="z_cr360_0_21474151_1_0_11548_6_149">#REF!</definedName>
    <definedName name="z_cr360_0_21474151_1_0_8938_6_202">#REF!</definedName>
    <definedName name="z_cr360_0_21474151_1_0_9247_6_45">#REF!</definedName>
    <definedName name="z_cr360_0_21474151_1_0_9653_6_103">#REF!</definedName>
    <definedName name="z_cr360_0_21474151_1_0_9653_6_85">#REF!</definedName>
    <definedName name="z_cr360_0_21474151_1_0_9654_6_120">#REF!</definedName>
    <definedName name="z_cr360_0_21474151_1_0_9654_6_85">#REF!</definedName>
    <definedName name="z_cr360_0_21474151_18446744073709551611_0_8938_6_196">#REF!</definedName>
    <definedName name="z_cr360_0_21474151_18446744073709551612_0_11547_6_123">#REF!</definedName>
    <definedName name="z_cr360_0_21474151_18446744073709551612_0_11548_6_144">#REF!</definedName>
    <definedName name="z_cr360_0_21474151_18446744073709551612_0_8938_6_197">#REF!</definedName>
    <definedName name="z_cr360_0_21474151_18446744073709551612_0_9181_6_106">#REF!</definedName>
    <definedName name="z_cr360_0_21474151_18446744073709551613_0_11547_6_124">#REF!</definedName>
    <definedName name="z_cr360_0_21474151_18446744073709551613_0_11548_6_145">#REF!</definedName>
    <definedName name="z_cr360_0_21474151_18446744073709551613_0_8938_6_198">#REF!</definedName>
    <definedName name="z_cr360_0_21474151_18446744073709551613_0_9181_6_107">#REF!</definedName>
    <definedName name="z_cr360_0_21474151_18446744073709551613_0_9247_6_41">#REF!</definedName>
    <definedName name="z_cr360_0_21474151_18446744073709551613_0_9653_6_81">#REF!</definedName>
    <definedName name="z_cr360_0_21474151_18446744073709551613_0_9653_6_99">#REF!</definedName>
    <definedName name="z_cr360_0_21474151_18446744073709551613_0_9654_6_116">#REF!</definedName>
    <definedName name="z_cr360_0_21474151_18446744073709551613_0_9654_6_81">#REF!</definedName>
    <definedName name="z_cr360_0_21474151_18446744073709551614_0_11547_6_125">#REF!</definedName>
    <definedName name="z_cr360_0_21474151_18446744073709551614_0_11548_6_146">#REF!</definedName>
    <definedName name="z_cr360_0_21474151_18446744073709551614_0_8938_6_199">#REF!</definedName>
    <definedName name="z_cr360_0_21474151_18446744073709551614_0_9181_6_108">#REF!</definedName>
    <definedName name="z_cr360_0_21474151_18446744073709551614_0_9247_6_42">#REF!</definedName>
    <definedName name="z_cr360_0_21474151_18446744073709551614_0_9653_6_100">#REF!</definedName>
    <definedName name="z_cr360_0_21474151_18446744073709551614_0_9653_6_82">#REF!</definedName>
    <definedName name="z_cr360_0_21474151_18446744073709551614_0_9654_6_117">#REF!</definedName>
    <definedName name="z_cr360_0_21474151_18446744073709551614_0_9654_6_82">#REF!</definedName>
    <definedName name="z_cr360_0_21474151_18446744073709551615_0_11547_6_126">#REF!</definedName>
    <definedName name="z_cr360_0_21474151_18446744073709551615_0_11548_6_147">#REF!</definedName>
    <definedName name="z_cr360_0_21474151_18446744073709551615_0_8938_6_200">#REF!</definedName>
    <definedName name="z_cr360_0_21474151_18446744073709551615_0_9181_6_109">#REF!</definedName>
    <definedName name="z_cr360_0_21474151_18446744073709551615_0_9247_6_43">#REF!</definedName>
    <definedName name="z_cr360_0_21474151_18446744073709551615_0_9653_6_101">#REF!</definedName>
    <definedName name="z_cr360_0_21474151_18446744073709551615_0_9653_6_83">#REF!</definedName>
    <definedName name="z_cr360_0_21474151_18446744073709551615_0_9654_6_118">#REF!</definedName>
    <definedName name="z_cr360_0_21474151_18446744073709551615_0_9654_6_83">#REF!</definedName>
    <definedName name="z_cr360_0_21474151_2_0_11547_6_129">#REF!</definedName>
    <definedName name="z_cr360_0_21474151_2_0_11548_6_150">#REF!</definedName>
    <definedName name="z_cr360_0_21474151_2_0_9247_6_46">#REF!</definedName>
    <definedName name="z_cr360_0_21474151_2_0_9653_6_104">#REF!</definedName>
    <definedName name="z_cr360_0_21474151_2_0_9653_6_86">#REF!</definedName>
    <definedName name="z_cr360_0_21474151_2_0_9654_6_121">#REF!</definedName>
    <definedName name="z_cr360_0_21474151_2_0_9654_6_86">#REF!</definedName>
    <definedName name="z_cr360_0_21474151_3_0_11547_6_130">#REF!</definedName>
    <definedName name="z_cr360_0_21474151_3_0_11548_6_151">#REF!</definedName>
    <definedName name="z_cr360_0_21474151_3_0_9653_6_105">#REF!</definedName>
    <definedName name="z_cr360_0_21474151_3_0_9654_6_122">#REF!</definedName>
    <definedName name="z_cr360_0_21474151_4_0_11547_6_131">#REF!</definedName>
    <definedName name="z_cr360_0_21474151_4_0_11548_6_152">#REF!</definedName>
    <definedName name="z_cr360_0_21474151_4_0_9653_6_106">#REF!</definedName>
    <definedName name="z_cr360_0_21474151_4_0_9654_6_123">#REF!</definedName>
    <definedName name="z_cr360_0_21474151_5_0_11547_6_132">#REF!</definedName>
    <definedName name="z_cr360_0_21474151_5_0_11548_6_153">#REF!</definedName>
    <definedName name="z_cr360_0_21560081_0_0_9247_6_9">#REF!</definedName>
    <definedName name="z_cr360_0_21560081_1_0_9247_6_10">#REF!</definedName>
    <definedName name="z_cr360_0_21560081_18446744073709551613_0_9247_6_6">#REF!</definedName>
    <definedName name="z_cr360_0_21560081_18446744073709551614_0_9247_6_7">#REF!</definedName>
    <definedName name="z_cr360_0_21560081_18446744073709551615_0_9247_6_8">#REF!</definedName>
    <definedName name="z_cr360_0_21560081_2_0_9247_6_11">#REF!</definedName>
    <definedName name="z_cr360_0_21571410_0_0_7615_6_8">#REF!</definedName>
    <definedName name="z_cr360_0_21571410_0_0_7616_6_8">#REF!</definedName>
    <definedName name="z_cr360_0_21571410_0_0_7715_6_8">#REF!</definedName>
    <definedName name="z_cr360_0_21571410_0_0_7716_6_8">#REF!</definedName>
    <definedName name="z_cr360_0_21571410_0_0_8475_5_4">#REF!</definedName>
    <definedName name="z_cr360_0_21571410_0_0_8589_1_5">[23]Data!#REF!</definedName>
    <definedName name="z_cr360_0_21571410_0_0_8589_2_5">[23]Data!#REF!</definedName>
    <definedName name="z_cr360_0_21571410_0_0_8589_3_5">[23]Data!#REF!</definedName>
    <definedName name="z_cr360_0_21571410_0_0_8589_4_5">[23]Data!#REF!</definedName>
    <definedName name="z_cr360_0_21571410_0_0_8589_5_5">[23]Data!#REF!</definedName>
    <definedName name="z_cr360_0_21571410_0_0_8589_6_5">[23]Data!#REF!</definedName>
    <definedName name="z_cr360_0_21571410_0_0_8589_7_5">[23]Data!#REF!</definedName>
    <definedName name="z_cr360_0_21571410_0_0_8938_6_8">#REF!</definedName>
    <definedName name="z_cr360_0_21571410_0_0_8939_6_8">#REF!</definedName>
    <definedName name="z_cr360_0_21571410_0_0_8940_6_8">#REF!</definedName>
    <definedName name="z_cr360_0_21571410_0_0_8941_6_8">#REF!</definedName>
    <definedName name="z_cr360_0_21571410_0_0_8943_6_5">#REF!</definedName>
    <definedName name="z_cr360_0_21571410_0_0_9181_6_5">#REF!</definedName>
    <definedName name="z_cr360_0_21571410_1_0_8942_3_3">#REF!</definedName>
    <definedName name="z_cr360_0_21588241_0_0_8474_6_73">#REF!</definedName>
    <definedName name="z_cr360_0_21588241_0_0_8589_6_11">[23]Data!#REF!</definedName>
    <definedName name="z_cr360_0_21588241_1_0_8474_6_74">#REF!</definedName>
    <definedName name="z_cr360_0_21588241_1_0_8589_7_11">[23]Data!#REF!</definedName>
    <definedName name="z_cr360_0_21588241_18446744073709551611_0_8474_6_68">#REF!</definedName>
    <definedName name="z_cr360_0_21588241_18446744073709551611_0_8589_1_11">[23]Data!#REF!</definedName>
    <definedName name="z_cr360_0_21588241_18446744073709551612_0_8474_6_69">#REF!</definedName>
    <definedName name="z_cr360_0_21588241_18446744073709551612_0_8589_2_11">[23]Data!#REF!</definedName>
    <definedName name="z_cr360_0_21588241_18446744073709551613_0_8474_6_70">#REF!</definedName>
    <definedName name="z_cr360_0_21588241_18446744073709551613_0_8589_3_11">[23]Data!#REF!</definedName>
    <definedName name="z_cr360_0_21588241_18446744073709551614_0_8474_6_71">#REF!</definedName>
    <definedName name="z_cr360_0_21588241_18446744073709551614_0_8589_4_11">[23]Data!#REF!</definedName>
    <definedName name="z_cr360_0_21588241_18446744073709551615_0_8474_6_72">#REF!</definedName>
    <definedName name="z_cr360_0_21588241_18446744073709551615_0_8589_5_11">[23]Data!#REF!</definedName>
    <definedName name="z_cr360_0_21588293_0_0_11547_6_97">#REF!</definedName>
    <definedName name="z_cr360_0_21588293_0_0_11548_6_118">#REF!</definedName>
    <definedName name="z_cr360_0_21588293_0_0_8474_6_111">#REF!</definedName>
    <definedName name="z_cr360_0_21588293_0_0_9653_6_60">#REF!</definedName>
    <definedName name="z_cr360_0_21588293_0_0_9653_6_78">#REF!</definedName>
    <definedName name="z_cr360_0_21588293_0_0_9654_6_60">#REF!</definedName>
    <definedName name="z_cr360_0_21588293_0_0_9654_6_95">#REF!</definedName>
    <definedName name="z_cr360_0_21588293_1_0_11547_6_98">#REF!</definedName>
    <definedName name="z_cr360_0_21588293_1_0_11548_6_119">#REF!</definedName>
    <definedName name="z_cr360_0_21588293_1_0_8474_6_112">#REF!</definedName>
    <definedName name="z_cr360_0_21588293_1_0_9653_6_61">#REF!</definedName>
    <definedName name="z_cr360_0_21588293_1_0_9653_6_79">#REF!</definedName>
    <definedName name="z_cr360_0_21588293_1_0_9654_6_61">#REF!</definedName>
    <definedName name="z_cr360_0_21588293_1_0_9654_6_96">#REF!</definedName>
    <definedName name="z_cr360_0_21588293_18446744073709551611_0_8474_6_106">#REF!</definedName>
    <definedName name="z_cr360_0_21588293_18446744073709551612_0_11547_6_93">#REF!</definedName>
    <definedName name="z_cr360_0_21588293_18446744073709551612_0_11548_6_114">#REF!</definedName>
    <definedName name="z_cr360_0_21588293_18446744073709551612_0_8474_6_107">#REF!</definedName>
    <definedName name="z_cr360_0_21588293_18446744073709551613_0_11547_6_94">#REF!</definedName>
    <definedName name="z_cr360_0_21588293_18446744073709551613_0_11548_6_115">#REF!</definedName>
    <definedName name="z_cr360_0_21588293_18446744073709551613_0_8474_6_108">#REF!</definedName>
    <definedName name="z_cr360_0_21588293_18446744073709551613_0_9653_6_57">#REF!</definedName>
    <definedName name="z_cr360_0_21588293_18446744073709551613_0_9653_6_75">#REF!</definedName>
    <definedName name="z_cr360_0_21588293_18446744073709551613_0_9654_6_57">#REF!</definedName>
    <definedName name="z_cr360_0_21588293_18446744073709551613_0_9654_6_92">#REF!</definedName>
    <definedName name="z_cr360_0_21588293_18446744073709551614_0_11547_6_95">#REF!</definedName>
    <definedName name="z_cr360_0_21588293_18446744073709551614_0_11548_6_116">#REF!</definedName>
    <definedName name="z_cr360_0_21588293_18446744073709551614_0_8474_6_109">#REF!</definedName>
    <definedName name="z_cr360_0_21588293_18446744073709551614_0_9653_6_58">#REF!</definedName>
    <definedName name="z_cr360_0_21588293_18446744073709551614_0_9653_6_76">#REF!</definedName>
    <definedName name="z_cr360_0_21588293_18446744073709551614_0_9654_6_58">#REF!</definedName>
    <definedName name="z_cr360_0_21588293_18446744073709551614_0_9654_6_93">#REF!</definedName>
    <definedName name="z_cr360_0_21588293_18446744073709551615_0_11547_6_96">#REF!</definedName>
    <definedName name="z_cr360_0_21588293_18446744073709551615_0_11548_6_117">#REF!</definedName>
    <definedName name="z_cr360_0_21588293_18446744073709551615_0_8474_6_110">#REF!</definedName>
    <definedName name="z_cr360_0_21588293_18446744073709551615_0_9653_6_59">#REF!</definedName>
    <definedName name="z_cr360_0_21588293_18446744073709551615_0_9653_6_77">#REF!</definedName>
    <definedName name="z_cr360_0_21588293_18446744073709551615_0_9654_6_59">#REF!</definedName>
    <definedName name="z_cr360_0_21588293_18446744073709551615_0_9654_6_94">#REF!</definedName>
    <definedName name="z_cr360_0_21588293_2_0_11547_6_99">#REF!</definedName>
    <definedName name="z_cr360_0_21588293_2_0_11548_6_120">#REF!</definedName>
    <definedName name="z_cr360_0_21588293_2_0_9653_6_62">#REF!</definedName>
    <definedName name="z_cr360_0_21588293_2_0_9653_6_80">#REF!</definedName>
    <definedName name="z_cr360_0_21588293_2_0_9654_6_62">#REF!</definedName>
    <definedName name="z_cr360_0_21588293_2_0_9654_6_97">#REF!</definedName>
    <definedName name="z_cr360_0_21588293_3_0_11547_6_100">#REF!</definedName>
    <definedName name="z_cr360_0_21588293_3_0_11548_6_121">#REF!</definedName>
    <definedName name="z_cr360_0_21588293_3_0_9653_6_81">#REF!</definedName>
    <definedName name="z_cr360_0_21588293_3_0_9654_6_98">#REF!</definedName>
    <definedName name="z_cr360_0_21588293_4_0_11547_6_101">#REF!</definedName>
    <definedName name="z_cr360_0_21588293_4_0_11548_6_122">#REF!</definedName>
    <definedName name="z_cr360_0_21588293_4_0_9653_6_82">#REF!</definedName>
    <definedName name="z_cr360_0_21588293_4_0_9654_6_99">#REF!</definedName>
    <definedName name="z_cr360_0_21588293_5_0_11547_6_102">#REF!</definedName>
    <definedName name="z_cr360_0_21588293_5_0_11548_6_123">#REF!</definedName>
    <definedName name="z_cr360_0_21993780_0_0_7715_6_13">#REF!</definedName>
    <definedName name="z_cr360_0_21993780_0_0_7716_6_13">#REF!</definedName>
    <definedName name="z_cr360_0_21993780_0_0_8938_6_10">#REF!</definedName>
    <definedName name="z_cr360_0_21993803_0_0_7715_6_15">#REF!</definedName>
    <definedName name="z_cr360_0_21993803_0_0_7716_6_15">#REF!</definedName>
    <definedName name="z_cr360_0_21993803_0_0_8938_6_12">#REF!</definedName>
    <definedName name="z_cr360_0_22002434_0_0_7715_6_14">#REF!</definedName>
    <definedName name="z_cr360_0_22002434_0_0_7716_6_14">#REF!</definedName>
    <definedName name="z_cr360_0_22002434_0_0_8938_6_11">#REF!</definedName>
    <definedName name="z_cr360_0_23416877_0_0_8940_6_55">#REF!</definedName>
    <definedName name="z_cr360_0_23416877_0_0_9181_6_130">#REF!</definedName>
    <definedName name="z_cr360_0_23416877_0_0_9653_6_108">#REF!</definedName>
    <definedName name="z_cr360_0_23416877_0_0_9654_6_108">#REF!</definedName>
    <definedName name="z_cr360_0_23416877_1_0_8940_6_56">#REF!</definedName>
    <definedName name="z_cr360_0_23416877_1_0_9653_6_109">#REF!</definedName>
    <definedName name="z_cr360_0_23416877_1_0_9654_6_109">#REF!</definedName>
    <definedName name="z_cr360_0_23416877_18446744073709551612_0_8940_6_51">#REF!</definedName>
    <definedName name="z_cr360_0_23416877_18446744073709551613_0_8940_6_52">#REF!</definedName>
    <definedName name="z_cr360_0_23416877_18446744073709551613_0_9181_6_127">#REF!</definedName>
    <definedName name="z_cr360_0_23416877_18446744073709551614_0_8940_6_53">#REF!</definedName>
    <definedName name="z_cr360_0_23416877_18446744073709551614_0_9181_6_128">#REF!</definedName>
    <definedName name="z_cr360_0_23416877_18446744073709551614_0_9653_6_106">#REF!</definedName>
    <definedName name="z_cr360_0_23416877_18446744073709551614_0_9654_6_106">#REF!</definedName>
    <definedName name="z_cr360_0_23416877_18446744073709551615_0_8940_6_54">#REF!</definedName>
    <definedName name="z_cr360_0_23416877_18446744073709551615_0_9181_6_129">#REF!</definedName>
    <definedName name="z_cr360_0_23416877_18446744073709551615_0_9653_6_107">#REF!</definedName>
    <definedName name="z_cr360_0_23416877_18446744073709551615_0_9654_6_107">#REF!</definedName>
    <definedName name="z_cr360_0_23416877_2_0_9653_6_110">#REF!</definedName>
    <definedName name="z_cr360_0_23416877_2_0_9654_6_110">#REF!</definedName>
    <definedName name="z_cr360_0_23416878_0_0_8940_6_91">#REF!</definedName>
    <definedName name="z_cr360_0_23416878_1_0_8940_6_92">#REF!</definedName>
    <definedName name="z_cr360_0_23416878_18446744073709551612_0_8940_6_87">#REF!</definedName>
    <definedName name="z_cr360_0_23416878_18446744073709551613_0_8940_6_88">#REF!</definedName>
    <definedName name="z_cr360_0_23416878_18446744073709551614_0_8940_6_89">#REF!</definedName>
    <definedName name="z_cr360_0_23416878_18446744073709551615_0_8940_6_90">#REF!</definedName>
    <definedName name="z_cr360_0_23416879_0_0_8940_6_113">#REF!</definedName>
    <definedName name="z_cr360_0_23416879_1_0_8940_6_114">#REF!</definedName>
    <definedName name="z_cr360_0_23416879_18446744073709551612_0_8940_6_109">#REF!</definedName>
    <definedName name="z_cr360_0_23416879_18446744073709551613_0_8940_6_110">#REF!</definedName>
    <definedName name="z_cr360_0_23416879_18446744073709551614_0_8940_6_111">#REF!</definedName>
    <definedName name="z_cr360_0_23416879_18446744073709551615_0_8940_6_112">#REF!</definedName>
    <definedName name="z_cr360_0_23428583_0_0_9181_6_131">#REF!</definedName>
    <definedName name="z_cr360_0_23428583_1_0_8940_6_117">#REF!</definedName>
    <definedName name="z_cr360_0_23616007_1_0_8938_6_169">#REF!</definedName>
    <definedName name="z_cr360_0_23616008_1_0_8940_6_146">#REF!</definedName>
    <definedName name="z_cr360_0_23616009_1_0_8939_6_117">#REF!</definedName>
    <definedName name="z_cr360_0_23616010_1_0_8941_6_18">#REF!</definedName>
    <definedName name="z_cr360_0_26335287_0_0_8940_6_40">#REF!</definedName>
    <definedName name="z_cr360_0_26335287_1_0_8940_6_41">#REF!</definedName>
    <definedName name="z_cr360_0_26335287_18446744073709551612_0_8940_6_36">#REF!</definedName>
    <definedName name="z_cr360_0_26335287_18446744073709551613_0_8940_6_37">#REF!</definedName>
    <definedName name="z_cr360_0_26335287_18446744073709551614_0_8940_6_38">#REF!</definedName>
    <definedName name="z_cr360_0_26335287_18446744073709551615_0_8940_6_39">#REF!</definedName>
    <definedName name="z_cr360_0_26335303_0_0_8940_6_70">#REF!</definedName>
    <definedName name="z_cr360_0_26335303_1_0_8940_6_71">#REF!</definedName>
    <definedName name="z_cr360_0_26335303_18446744073709551612_0_8940_6_66">#REF!</definedName>
    <definedName name="z_cr360_0_26335303_18446744073709551613_0_8940_6_67">#REF!</definedName>
    <definedName name="z_cr360_0_26335303_18446744073709551614_0_8940_6_68">#REF!</definedName>
    <definedName name="z_cr360_0_26335303_18446744073709551615_0_8940_6_69">#REF!</definedName>
    <definedName name="z_cr360_0_26335304_0_0_8940_6_84">#REF!</definedName>
    <definedName name="z_cr360_0_26335304_1_0_8940_6_85">#REF!</definedName>
    <definedName name="z_cr360_0_26335304_18446744073709551612_0_8940_6_80">#REF!</definedName>
    <definedName name="z_cr360_0_26335304_18446744073709551613_0_8940_6_81">#REF!</definedName>
    <definedName name="z_cr360_0_26335304_18446744073709551614_0_8940_6_82">#REF!</definedName>
    <definedName name="z_cr360_0_26335304_18446744073709551615_0_8940_6_83">#REF!</definedName>
    <definedName name="z_cr360_0_26335315_0_0_8940_6_106">#REF!</definedName>
    <definedName name="z_cr360_0_26335315_1_0_8940_6_107">#REF!</definedName>
    <definedName name="z_cr360_0_26335315_18446744073709551612_0_8940_6_102">#REF!</definedName>
    <definedName name="z_cr360_0_26335315_18446744073709551613_0_8940_6_103">#REF!</definedName>
    <definedName name="z_cr360_0_26335315_18446744073709551614_0_8940_6_104">#REF!</definedName>
    <definedName name="z_cr360_0_26335315_18446744073709551615_0_8940_6_105">#REF!</definedName>
    <definedName name="z_cr360_0_27010005_0_0_9181_6_31">#REF!</definedName>
    <definedName name="z_cr360_0_27010005_18446744073709551612_0_9181_6_27">#REF!</definedName>
    <definedName name="z_cr360_0_27010005_18446744073709551613_0_9181_6_28">#REF!</definedName>
    <definedName name="z_cr360_0_27010005_18446744073709551614_0_9181_6_29">#REF!</definedName>
    <definedName name="z_cr360_0_27010005_18446744073709551615_0_9181_6_30">#REF!</definedName>
    <definedName name="z_cr360_0_27168411_0_0_8942_3_6">#REF!</definedName>
    <definedName name="z_cr360_0_27168411_1_0_8942_3_7">#REF!</definedName>
    <definedName name="z_cr360_0_28633686_0_0_9181_6_115">#REF!</definedName>
    <definedName name="z_cr360_0_28633686_0_0_9653_6_90">#REF!</definedName>
    <definedName name="z_cr360_0_28633686_1_0_9653_6_91">#REF!</definedName>
    <definedName name="z_cr360_0_28633686_18446744073709551612_0_9181_6_111">#REF!</definedName>
    <definedName name="z_cr360_0_28633686_18446744073709551613_0_9181_6_112">#REF!</definedName>
    <definedName name="z_cr360_0_28633686_18446744073709551613_0_9653_6_87">#REF!</definedName>
    <definedName name="z_cr360_0_28633686_18446744073709551614_0_9181_6_113">#REF!</definedName>
    <definedName name="z_cr360_0_28633686_18446744073709551614_0_9653_6_88">#REF!</definedName>
    <definedName name="z_cr360_0_28633686_18446744073709551615_0_9181_6_114">#REF!</definedName>
    <definedName name="z_cr360_0_28633686_18446744073709551615_0_9653_6_89">#REF!</definedName>
    <definedName name="z_cr360_0_28633686_2_0_9653_6_92">#REF!</definedName>
    <definedName name="z_cr360_0_28642770_2_0_11548_6_5">#REF!</definedName>
    <definedName name="z_cr360_0_28642770_2_0_9653_6_5">#REF!</definedName>
    <definedName name="z_cr360_0_28642770_2_0_9654_6_5">#REF!</definedName>
    <definedName name="z_cr360_0_28642770_4_0_11547_6_5">#REF!</definedName>
    <definedName name="z_cr360_0_28642770_4_0_9653_6_5">#REF!</definedName>
    <definedName name="z_cr360_0_29070342_0_0_9654_6_90">#REF!</definedName>
    <definedName name="z_cr360_0_29070342_1_0_9654_6_91">#REF!</definedName>
    <definedName name="z_cr360_0_29070342_18446744073709551613_0_9654_6_87">#REF!</definedName>
    <definedName name="z_cr360_0_29070342_18446744073709551614_0_9654_6_88">#REF!</definedName>
    <definedName name="z_cr360_0_29070342_18446744073709551615_0_9654_6_89">#REF!</definedName>
    <definedName name="z_cr360_0_29070342_2_0_9654_6_92">#REF!</definedName>
    <definedName name="z_cr360_0_29131418_2_0_9247_6_5">#REF!</definedName>
    <definedName name="z_cr360_0_41940082_0_0_9247_6_32">#REF!</definedName>
    <definedName name="z_cr360_0_41940082_1_0_9247_6_33">#REF!</definedName>
    <definedName name="z_cr360_0_41940082_18446744073709551613_0_9247_6_29">#REF!</definedName>
    <definedName name="z_cr360_0_41940082_18446744073709551614_0_9247_6_30">#REF!</definedName>
    <definedName name="z_cr360_0_41940082_18446744073709551615_0_9247_6_31">#REF!</definedName>
    <definedName name="z_cr360_0_41940082_2_0_9247_6_34">#REF!</definedName>
    <definedName name="z_cr360_0_51118053_0_0_11547_6_10">#REF!</definedName>
    <definedName name="z_cr360_0_51118053_0_0_11548_6_10">#REF!</definedName>
    <definedName name="z_cr360_0_51118053_0_0_9653_6_9">#REF!</definedName>
    <definedName name="z_cr360_0_51118053_0_0_9654_6_9">#REF!</definedName>
    <definedName name="z_cr360_0_51118053_1_0_11547_6_11">#REF!</definedName>
    <definedName name="z_cr360_0_51118053_1_0_11548_6_11">#REF!</definedName>
    <definedName name="z_cr360_0_51118053_1_0_9653_6_10">#REF!</definedName>
    <definedName name="z_cr360_0_51118053_1_0_9654_6_10">#REF!</definedName>
    <definedName name="z_cr360_0_51118053_18446744073709551612_0_11547_6_6">#REF!</definedName>
    <definedName name="z_cr360_0_51118053_18446744073709551612_0_11548_6_6">#REF!</definedName>
    <definedName name="z_cr360_0_51118053_18446744073709551613_0_11547_6_7">#REF!</definedName>
    <definedName name="z_cr360_0_51118053_18446744073709551613_0_11548_6_7">#REF!</definedName>
    <definedName name="z_cr360_0_51118053_18446744073709551613_0_9653_6_6">#REF!</definedName>
    <definedName name="z_cr360_0_51118053_18446744073709551613_0_9654_6_6">#REF!</definedName>
    <definedName name="z_cr360_0_51118053_18446744073709551614_0_11547_6_8">#REF!</definedName>
    <definedName name="z_cr360_0_51118053_18446744073709551614_0_11548_6_8">#REF!</definedName>
    <definedName name="z_cr360_0_51118053_18446744073709551614_0_9653_6_7">#REF!</definedName>
    <definedName name="z_cr360_0_51118053_18446744073709551614_0_9654_6_7">#REF!</definedName>
    <definedName name="z_cr360_0_51118053_18446744073709551615_0_11547_6_9">#REF!</definedName>
    <definedName name="z_cr360_0_51118053_18446744073709551615_0_11548_6_9">#REF!</definedName>
    <definedName name="z_cr360_0_51118053_18446744073709551615_0_9653_6_8">#REF!</definedName>
    <definedName name="z_cr360_0_51118053_18446744073709551615_0_9654_6_8">#REF!</definedName>
    <definedName name="z_cr360_0_51118053_2_0_11547_6_12">#REF!</definedName>
    <definedName name="z_cr360_0_51118053_2_0_11548_6_12">#REF!</definedName>
    <definedName name="z_cr360_0_51118053_2_0_9653_6_11">#REF!</definedName>
    <definedName name="z_cr360_0_51118053_2_0_9654_6_11">#REF!</definedName>
    <definedName name="z_cr360_0_51118053_3_0_11547_6_13">#REF!</definedName>
    <definedName name="z_cr360_0_51118053_3_0_11548_6_13">#REF!</definedName>
    <definedName name="z_cr360_0_51118053_3_0_9653_6_12">#REF!</definedName>
    <definedName name="z_cr360_0_51118053_3_0_9654_6_12">#REF!</definedName>
    <definedName name="z_cr360_0_51118053_4_0_11547_6_14">#REF!</definedName>
    <definedName name="z_cr360_0_51118053_4_0_11548_6_14">#REF!</definedName>
    <definedName name="z_cr360_0_51118053_4_0_9653_6_13">#REF!</definedName>
    <definedName name="z_cr360_0_51118053_4_0_9654_6_13">#REF!</definedName>
    <definedName name="z_cr360_0_51118053_5_0_11547_6_15">#REF!</definedName>
    <definedName name="z_cr360_0_51118053_5_0_11548_6_15">#REF!</definedName>
    <definedName name="z_cr360_0_9070388_0_0_7616_6_55">#REF!</definedName>
    <definedName name="z_cr360_0_9070388_0_0_8567_6_141">#REF!</definedName>
    <definedName name="z_cr360_0_9070388_0_0_8940_6_17">#REF!</definedName>
    <definedName name="z_cr360_0_9070388_1_0_8567_6_142">#REF!</definedName>
    <definedName name="z_cr360_0_9070388_1_0_8940_6_18">#REF!</definedName>
    <definedName name="z_cr360_0_9070388_18446744073709551611_0_7616_6_50">#REF!</definedName>
    <definedName name="z_cr360_0_9070388_18446744073709551611_0_8567_6_136">#REF!</definedName>
    <definedName name="z_cr360_0_9070388_18446744073709551612_0_7616_6_51">#REF!</definedName>
    <definedName name="z_cr360_0_9070388_18446744073709551612_0_8567_6_137">#REF!</definedName>
    <definedName name="z_cr360_0_9070388_18446744073709551612_0_8940_6_13">#REF!</definedName>
    <definedName name="z_cr360_0_9070388_18446744073709551613_0_7616_6_52">#REF!</definedName>
    <definedName name="z_cr360_0_9070388_18446744073709551613_0_8567_6_138">#REF!</definedName>
    <definedName name="z_cr360_0_9070388_18446744073709551613_0_8940_6_14">#REF!</definedName>
    <definedName name="z_cr360_0_9070388_18446744073709551614_0_7616_6_53">#REF!</definedName>
    <definedName name="z_cr360_0_9070388_18446744073709551614_0_8567_6_139">#REF!</definedName>
    <definedName name="z_cr360_0_9070388_18446744073709551614_0_8940_6_15">#REF!</definedName>
    <definedName name="z_cr360_0_9070388_18446744073709551615_0_7616_6_54">#REF!</definedName>
    <definedName name="z_cr360_0_9070388_18446744073709551615_0_8567_6_140">#REF!</definedName>
    <definedName name="z_cr360_0_9070388_18446744073709551615_0_8940_6_16">#REF!</definedName>
    <definedName name="z_cr360_0_9070389_0_0_8940_6_77">#REF!</definedName>
    <definedName name="z_cr360_0_9070389_1_0_8940_6_78">#REF!</definedName>
    <definedName name="z_cr360_0_9070389_18446744073709551611_0_8567_6_77">#REF!</definedName>
    <definedName name="z_cr360_0_9070389_18446744073709551612_0_8940_6_73">#REF!</definedName>
    <definedName name="z_cr360_0_9070389_18446744073709551613_0_8940_6_74">#REF!</definedName>
    <definedName name="z_cr360_0_9070389_18446744073709551614_0_8940_6_75">#REF!</definedName>
    <definedName name="z_cr360_0_9070389_18446744073709551615_0_8940_6_76">#REF!</definedName>
    <definedName name="z_cr360_0_9070390_0_0_8940_6_63">#REF!</definedName>
    <definedName name="z_cr360_0_9070390_1_0_8940_6_64">#REF!</definedName>
    <definedName name="z_cr360_0_9070390_18446744073709551611_0_8567_6_52">#REF!</definedName>
    <definedName name="z_cr360_0_9070390_18446744073709551612_0_8940_6_59">#REF!</definedName>
    <definedName name="z_cr360_0_9070390_18446744073709551613_0_8940_6_60">#REF!</definedName>
    <definedName name="z_cr360_0_9070390_18446744073709551614_0_8940_6_61">#REF!</definedName>
    <definedName name="z_cr360_0_9070390_18446744073709551615_0_8940_6_62">#REF!</definedName>
    <definedName name="z_cr360_0_9070392_0_0_8940_6_99">#REF!</definedName>
    <definedName name="z_cr360_0_9070392_1_0_8940_6_100">#REF!</definedName>
    <definedName name="z_cr360_0_9070392_18446744073709551611_0_8567_6_102">#REF!</definedName>
    <definedName name="z_cr360_0_9070392_18446744073709551612_0_8940_6_95">#REF!</definedName>
    <definedName name="z_cr360_0_9070392_18446744073709551613_0_8940_6_96">#REF!</definedName>
    <definedName name="z_cr360_0_9070392_18446744073709551614_0_8940_6_97">#REF!</definedName>
    <definedName name="z_cr360_0_9070392_18446744073709551615_0_8940_6_98">#REF!</definedName>
    <definedName name="z_cr360_0_9070393_0_0_7616_6_23">#REF!</definedName>
    <definedName name="z_cr360_0_9070393_0_0_8611_6_55">#REF!</definedName>
    <definedName name="z_cr360_0_9070393_0_0_8940_6_47">#REF!</definedName>
    <definedName name="z_cr360_0_9070393_1_0_8611_6_56">#REF!</definedName>
    <definedName name="z_cr360_0_9070393_1_0_8940_6_48">#REF!</definedName>
    <definedName name="z_cr360_0_9070393_18446744073709551611_0_7616_6_18">#REF!</definedName>
    <definedName name="z_cr360_0_9070393_18446744073709551611_0_8567_6_43">#REF!</definedName>
    <definedName name="z_cr360_0_9070393_18446744073709551612_0_7616_6_19">#REF!</definedName>
    <definedName name="z_cr360_0_9070393_18446744073709551612_0_8611_6_51">#REF!</definedName>
    <definedName name="z_cr360_0_9070393_18446744073709551612_0_8940_6_43">#REF!</definedName>
    <definedName name="z_cr360_0_9070393_18446744073709551613_0_7616_6_20">#REF!</definedName>
    <definedName name="z_cr360_0_9070393_18446744073709551613_0_8611_6_52">#REF!</definedName>
    <definedName name="z_cr360_0_9070393_18446744073709551613_0_8940_6_44">#REF!</definedName>
    <definedName name="z_cr360_0_9070393_18446744073709551614_0_7616_6_21">#REF!</definedName>
    <definedName name="z_cr360_0_9070393_18446744073709551614_0_8611_6_53">#REF!</definedName>
    <definedName name="z_cr360_0_9070393_18446744073709551614_0_8940_6_45">#REF!</definedName>
    <definedName name="z_cr360_0_9070393_18446744073709551615_0_7616_6_22">#REF!</definedName>
    <definedName name="z_cr360_0_9070393_18446744073709551615_0_8611_6_54">#REF!</definedName>
    <definedName name="z_cr360_0_9070393_18446744073709551615_0_8940_6_46">#REF!</definedName>
    <definedName name="z_cr360_0_9070394_0_0_8567_6_13">#REF!</definedName>
    <definedName name="z_cr360_0_9070394_0_0_8940_6_171">#REF!</definedName>
    <definedName name="z_cr360_0_9070394_1_0_8567_6_15">#REF!</definedName>
    <definedName name="z_cr360_0_9070394_1_0_8940_6_173">#REF!</definedName>
    <definedName name="z_cr360_0_9070394_18446744073709551612_0_8940_6_163">#REF!</definedName>
    <definedName name="z_cr360_0_9070394_18446744073709551613_0_8940_6_165">#REF!</definedName>
    <definedName name="z_cr360_0_9070394_18446744073709551614_0_8940_6_167">#REF!</definedName>
    <definedName name="z_cr360_0_9070394_18446744073709551615_0_8940_6_169">#REF!</definedName>
    <definedName name="z_cr360_0_9070405_0_0_7615_6_45">#REF!</definedName>
    <definedName name="z_cr360_0_9070405_0_0_8939_6_51">#REF!</definedName>
    <definedName name="z_cr360_0_9070405_1_0_8939_6_52">#REF!</definedName>
    <definedName name="z_cr360_0_9070405_18446744073709551611_0_7615_6_40">#REF!</definedName>
    <definedName name="z_cr360_0_9070405_18446744073709551611_0_8939_6_46">#REF!</definedName>
    <definedName name="z_cr360_0_9070405_18446744073709551612_0_7615_6_41">#REF!</definedName>
    <definedName name="z_cr360_0_9070405_18446744073709551612_0_8939_6_47">#REF!</definedName>
    <definedName name="z_cr360_0_9070405_18446744073709551613_0_7615_6_42">#REF!</definedName>
    <definedName name="z_cr360_0_9070405_18446744073709551613_0_8939_6_48">#REF!</definedName>
    <definedName name="z_cr360_0_9070405_18446744073709551614_0_7615_6_43">#REF!</definedName>
    <definedName name="z_cr360_0_9070405_18446744073709551614_0_8939_6_49">#REF!</definedName>
    <definedName name="z_cr360_0_9070405_18446744073709551615_0_7615_6_44">#REF!</definedName>
    <definedName name="z_cr360_0_9070405_18446744073709551615_0_8939_6_50">#REF!</definedName>
    <definedName name="z_cr360_0_9461051_0_0_8503_6_13">#REF!</definedName>
    <definedName name="z_cr360_0_9461051_0_0_8503_6_14">#REF!</definedName>
    <definedName name="z_cr360_0_9461051_0_0_8503_6_15">#REF!</definedName>
    <definedName name="z_cr360_0_9461051_0_0_8503_6_16">#REF!</definedName>
    <definedName name="z_cr360_0_9461051_0_0_8503_6_17">#REF!</definedName>
    <definedName name="z_cr360_0_9461051_0_0_8625_6_13">#REF!</definedName>
    <definedName name="z_cr360_0_9461051_1_0_8625_6_14">#REF!</definedName>
    <definedName name="z_cr360_0_9480994_0_0_7550_5_13">#REF!</definedName>
    <definedName name="z_cr360_0_9480994_0_0_7551_5_13">#REF!</definedName>
    <definedName name="z_cr360_0_9480994_0_0_7552_5_13">#REF!</definedName>
    <definedName name="z_cr360_0_9480994_0_0_8476_6_19">#REF!</definedName>
    <definedName name="z_cr360_0_9480994_1_0_8476_6_20">#REF!</definedName>
    <definedName name="z_cr360_0_9480994_18446744073709551611_0_7550_5_12">#REF!</definedName>
    <definedName name="z_cr360_0_9480994_18446744073709551611_0_7551_5_12">#REF!</definedName>
    <definedName name="z_cr360_0_9480994_18446744073709551611_0_7552_5_12">#REF!</definedName>
    <definedName name="z_cr360_0_9480994_18446744073709551611_0_8476_6_14">#REF!</definedName>
    <definedName name="z_cr360_0_9480994_18446744073709551612_0_8476_6_15">#REF!</definedName>
    <definedName name="z_cr360_0_9480994_18446744073709551613_0_8476_6_16">#REF!</definedName>
    <definedName name="z_cr360_0_9480994_18446744073709551614_0_8476_6_17">#REF!</definedName>
    <definedName name="z_cr360_0_9480994_18446744073709551615_0_8476_6_18">#REF!</definedName>
    <definedName name="z_cr360_3_0_0_11547_0_6_0">#REF!</definedName>
    <definedName name="z_cr360_3_0_0_11548_0_6_0">#REF!</definedName>
    <definedName name="z_cr360_3_0_0_9247_0_6_0">#REF!</definedName>
    <definedName name="z_cr360_3_0_0_9653_0_6_0">#REF!</definedName>
    <definedName name="z_cr360_3_0_0_9654_0_6_0">#REF!</definedName>
  </definedNames>
  <calcPr calcId="191028"/>
  <pivotCaches>
    <pivotCache cacheId="0" r:id="rId72"/>
    <pivotCache cacheId="1" r:id="rId7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0" l="1"/>
  <c r="M14" i="32"/>
  <c r="F10" i="20"/>
  <c r="F34" i="57"/>
  <c r="I67" i="64"/>
  <c r="C14" i="32"/>
  <c r="D127" i="62"/>
  <c r="D126" i="62"/>
  <c r="D125" i="62"/>
  <c r="D124" i="62"/>
  <c r="D8" i="60"/>
  <c r="D18" i="62"/>
  <c r="C18" i="62"/>
  <c r="N20" i="75"/>
  <c r="N19" i="75"/>
  <c r="N18" i="75"/>
  <c r="N17" i="75"/>
  <c r="N16" i="75"/>
  <c r="N15" i="75"/>
  <c r="N14" i="75"/>
  <c r="N13" i="75"/>
  <c r="N12" i="75"/>
  <c r="N11" i="75"/>
  <c r="N10" i="75"/>
  <c r="N9" i="75"/>
  <c r="N8" i="75"/>
  <c r="N7" i="75"/>
  <c r="N6" i="75"/>
  <c r="N5" i="75"/>
  <c r="N4" i="75"/>
  <c r="N3" i="75"/>
  <c r="N2" i="75"/>
  <c r="L19" i="75"/>
  <c r="L3" i="75"/>
  <c r="L4" i="75"/>
  <c r="L5" i="75"/>
  <c r="L6" i="75"/>
  <c r="L7" i="75"/>
  <c r="L8" i="75"/>
  <c r="L9" i="75"/>
  <c r="L10" i="75"/>
  <c r="L11" i="75"/>
  <c r="L12" i="75"/>
  <c r="L13" i="75"/>
  <c r="L14" i="75"/>
  <c r="L15" i="75"/>
  <c r="L16" i="75"/>
  <c r="L17" i="75"/>
  <c r="L18" i="75"/>
  <c r="L2" i="75"/>
  <c r="M4" i="64"/>
  <c r="L4" i="64"/>
  <c r="C19" i="64"/>
  <c r="H33" i="67"/>
  <c r="H32" i="67"/>
  <c r="BD53" i="65"/>
  <c r="BD52" i="65"/>
  <c r="BD51" i="65"/>
  <c r="N71" i="66"/>
  <c r="N70" i="66"/>
  <c r="L30" i="53"/>
  <c r="K30" i="53"/>
  <c r="C14" i="74"/>
  <c r="E25" i="59"/>
  <c r="E47" i="74"/>
  <c r="E48" i="74"/>
  <c r="F49" i="74"/>
  <c r="C43" i="74"/>
  <c r="C23" i="74"/>
  <c r="C24" i="74"/>
  <c r="C25" i="74"/>
  <c r="C27" i="74"/>
  <c r="C28" i="74"/>
  <c r="C29" i="74"/>
  <c r="C35" i="74"/>
  <c r="C15" i="74"/>
  <c r="C4" i="74"/>
  <c r="D4" i="74" s="1"/>
  <c r="C7" i="74"/>
  <c r="D7" i="74"/>
  <c r="E7" i="74" s="1"/>
  <c r="C8" i="74"/>
  <c r="B2" i="72"/>
  <c r="G251" i="72"/>
  <c r="H251" i="72"/>
  <c r="H252" i="72"/>
  <c r="G196" i="72"/>
  <c r="G124" i="72"/>
  <c r="G252" i="72" s="1"/>
  <c r="F252" i="72" s="1"/>
  <c r="H18" i="64"/>
  <c r="C18" i="64"/>
  <c r="F124" i="72"/>
  <c r="F196" i="72"/>
  <c r="B44" i="72"/>
  <c r="H5" i="72"/>
  <c r="H68" i="67"/>
  <c r="H12" i="70"/>
  <c r="B4" i="72"/>
  <c r="I29" i="70"/>
  <c r="D81" i="70"/>
  <c r="C81" i="70"/>
  <c r="C82" i="70" s="1"/>
  <c r="D82" i="70"/>
  <c r="E60" i="70"/>
  <c r="E61" i="70"/>
  <c r="E62" i="70"/>
  <c r="E63" i="70"/>
  <c r="E64" i="70"/>
  <c r="E65" i="70"/>
  <c r="E66" i="70"/>
  <c r="E67" i="70"/>
  <c r="E68" i="70"/>
  <c r="E69" i="70"/>
  <c r="E70" i="70"/>
  <c r="E71" i="70"/>
  <c r="E72" i="70"/>
  <c r="E73" i="70"/>
  <c r="E74" i="70"/>
  <c r="E75" i="70"/>
  <c r="E76" i="70"/>
  <c r="E77" i="70"/>
  <c r="E78" i="70"/>
  <c r="E79" i="70"/>
  <c r="E80" i="70"/>
  <c r="E59" i="70"/>
  <c r="E81" i="70" s="1"/>
  <c r="B6" i="72"/>
  <c r="B10" i="72"/>
  <c r="B9" i="72"/>
  <c r="B92" i="66"/>
  <c r="B7" i="72" s="1"/>
  <c r="B5" i="72"/>
  <c r="H74" i="62"/>
  <c r="D10" i="60"/>
  <c r="H73" i="62"/>
  <c r="D31" i="60"/>
  <c r="D28" i="60"/>
  <c r="D27" i="60"/>
  <c r="D25" i="60"/>
  <c r="D24" i="60"/>
  <c r="D22" i="60"/>
  <c r="D21" i="60"/>
  <c r="D19" i="60"/>
  <c r="D18" i="60"/>
  <c r="D16" i="60"/>
  <c r="D15" i="60"/>
  <c r="D13" i="60"/>
  <c r="D12" i="60"/>
  <c r="G5" i="53"/>
  <c r="K19" i="62"/>
  <c r="K18" i="62"/>
  <c r="K17" i="62"/>
  <c r="K16" i="62"/>
  <c r="K15" i="62"/>
  <c r="D23" i="60"/>
  <c r="I78" i="64"/>
  <c r="I81" i="64"/>
  <c r="H9" i="64"/>
  <c r="J62" i="64"/>
  <c r="D24" i="20"/>
  <c r="D20" i="20"/>
  <c r="D19" i="20"/>
  <c r="D18" i="20"/>
  <c r="D17" i="20"/>
  <c r="E16" i="20"/>
  <c r="D16" i="20"/>
  <c r="D49" i="60"/>
  <c r="V22" i="53"/>
  <c r="V21" i="53"/>
  <c r="E24" i="59"/>
  <c r="E23" i="59"/>
  <c r="E22" i="59"/>
  <c r="E21" i="59"/>
  <c r="E20" i="59"/>
  <c r="E19" i="59"/>
  <c r="E18" i="59"/>
  <c r="E13" i="59"/>
  <c r="E10" i="59"/>
  <c r="D14" i="32"/>
  <c r="E14" i="32" s="1"/>
  <c r="H26" i="67"/>
  <c r="D26" i="60"/>
  <c r="D20" i="60"/>
  <c r="D17" i="60"/>
  <c r="D14" i="60"/>
  <c r="D11" i="60"/>
  <c r="F251" i="72" l="1"/>
  <c r="E15" i="59"/>
  <c r="E27" i="59"/>
  <c r="W22" i="53"/>
  <c r="D48" i="60" s="1"/>
  <c r="BH26" i="65"/>
  <c r="BH24" i="65"/>
  <c r="BH27" i="65"/>
  <c r="E12" i="29"/>
  <c r="Y84" i="24"/>
  <c r="AA79" i="24"/>
  <c r="AA67" i="24"/>
  <c r="E11" i="29"/>
  <c r="E10" i="29"/>
  <c r="E9" i="29"/>
  <c r="Y81" i="24"/>
  <c r="Z81" i="24"/>
  <c r="X81" i="24"/>
  <c r="Y83" i="24"/>
  <c r="Y82" i="24"/>
  <c r="AA80" i="24"/>
  <c r="Y80" i="24"/>
  <c r="Z80" i="24"/>
  <c r="X80" i="24"/>
  <c r="E8" i="29"/>
  <c r="W60" i="24"/>
  <c r="W59" i="24"/>
  <c r="BH31" i="65"/>
  <c r="F36" i="29"/>
  <c r="D35" i="29"/>
  <c r="D34" i="29"/>
  <c r="D33" i="29"/>
  <c r="AA15" i="24"/>
  <c r="Z15" i="24"/>
  <c r="Y15" i="24"/>
  <c r="N52" i="66"/>
  <c r="E9" i="58"/>
  <c r="O51" i="66"/>
  <c r="K69" i="66"/>
  <c r="D57" i="57"/>
  <c r="D56" i="57"/>
  <c r="E48" i="57"/>
  <c r="M38" i="53"/>
  <c r="D45" i="57"/>
  <c r="D44" i="57"/>
  <c r="I47" i="64"/>
  <c r="D21" i="64"/>
  <c r="F21" i="64"/>
  <c r="G21" i="64"/>
  <c r="C21" i="64"/>
  <c r="I46" i="64" s="1"/>
  <c r="E31" i="57"/>
  <c r="I27" i="67"/>
  <c r="H27" i="67"/>
  <c r="D31" i="57" s="1"/>
  <c r="D30" i="57"/>
  <c r="E29" i="57"/>
  <c r="H67" i="64"/>
  <c r="E12" i="57"/>
  <c r="H51" i="64"/>
  <c r="E15" i="57"/>
  <c r="E14" i="57"/>
  <c r="D14" i="57"/>
  <c r="I25" i="67"/>
  <c r="H25" i="67"/>
  <c r="D13" i="57"/>
  <c r="H24" i="67"/>
  <c r="E46" i="67"/>
  <c r="D46" i="67"/>
  <c r="D43" i="67"/>
  <c r="D42" i="67"/>
  <c r="H30" i="67"/>
  <c r="H20" i="67"/>
  <c r="H19" i="67"/>
  <c r="F18" i="67"/>
  <c r="E18" i="67"/>
  <c r="D18" i="67" s="1"/>
  <c r="F17" i="67"/>
  <c r="E17" i="67"/>
  <c r="D17" i="67"/>
  <c r="H17" i="67" s="1"/>
  <c r="H16" i="67"/>
  <c r="H15" i="67"/>
  <c r="H14" i="67"/>
  <c r="D13" i="67"/>
  <c r="H13" i="67" s="1"/>
  <c r="H12" i="67"/>
  <c r="L4" i="67"/>
  <c r="E29" i="59" l="1"/>
  <c r="AB15" i="24"/>
  <c r="Y16" i="24"/>
  <c r="E34" i="29" s="1"/>
  <c r="E32" i="29"/>
  <c r="Z16" i="24"/>
  <c r="E33" i="29" s="1"/>
  <c r="AA16" i="24"/>
  <c r="E35" i="29" s="1"/>
  <c r="H28" i="67"/>
  <c r="H18" i="67"/>
  <c r="F11" i="60" l="1"/>
  <c r="F13" i="60"/>
  <c r="F17" i="60"/>
  <c r="F18" i="60"/>
  <c r="F19" i="60"/>
  <c r="F20" i="60"/>
  <c r="F21" i="60"/>
  <c r="F22" i="60"/>
  <c r="F23" i="60"/>
  <c r="F24" i="60"/>
  <c r="F25" i="60"/>
  <c r="F26" i="60"/>
  <c r="F27" i="60"/>
  <c r="N63" i="66"/>
  <c r="N64" i="66" s="1"/>
  <c r="D24" i="58" s="1"/>
  <c r="B63" i="66"/>
  <c r="N62" i="66"/>
  <c r="B61" i="66"/>
  <c r="B60" i="66"/>
  <c r="B57" i="66"/>
  <c r="N56" i="66"/>
  <c r="N57" i="66" s="1"/>
  <c r="D16" i="58" s="1"/>
  <c r="B56" i="66"/>
  <c r="B55" i="66"/>
  <c r="B54" i="66"/>
  <c r="B53" i="66"/>
  <c r="D10" i="58"/>
  <c r="B52" i="66"/>
  <c r="N50" i="66"/>
  <c r="N51" i="66" s="1"/>
  <c r="D9" i="58" s="1"/>
  <c r="B50" i="66"/>
  <c r="M44" i="66"/>
  <c r="L44" i="66"/>
  <c r="K44" i="66"/>
  <c r="J44" i="66"/>
  <c r="I44" i="66"/>
  <c r="H44" i="66"/>
  <c r="G44" i="66"/>
  <c r="F44" i="66"/>
  <c r="E44" i="66"/>
  <c r="D44" i="66"/>
  <c r="C44" i="66"/>
  <c r="B44" i="66"/>
  <c r="N43" i="66"/>
  <c r="C62" i="66" s="1"/>
  <c r="D62" i="66" s="1"/>
  <c r="N42" i="66"/>
  <c r="C61" i="66" s="1"/>
  <c r="M41" i="66"/>
  <c r="L41" i="66"/>
  <c r="K41" i="66"/>
  <c r="J41" i="66"/>
  <c r="I41" i="66"/>
  <c r="H41" i="66"/>
  <c r="G41" i="66"/>
  <c r="F41" i="66"/>
  <c r="E41" i="66"/>
  <c r="D41" i="66"/>
  <c r="C41" i="66"/>
  <c r="B41" i="66"/>
  <c r="M40" i="66"/>
  <c r="L40" i="66"/>
  <c r="K40" i="66"/>
  <c r="J40" i="66"/>
  <c r="I40" i="66"/>
  <c r="H40" i="66"/>
  <c r="G40" i="66"/>
  <c r="F40" i="66"/>
  <c r="E40" i="66"/>
  <c r="D40" i="66"/>
  <c r="C40" i="66"/>
  <c r="B40" i="66"/>
  <c r="M39" i="66"/>
  <c r="L39" i="66"/>
  <c r="K39" i="66"/>
  <c r="J39" i="66"/>
  <c r="I39" i="66"/>
  <c r="H39" i="66"/>
  <c r="G39" i="66"/>
  <c r="F39" i="66"/>
  <c r="E39" i="66"/>
  <c r="D39" i="66"/>
  <c r="C39" i="66"/>
  <c r="B39" i="66"/>
  <c r="N38" i="66"/>
  <c r="C57" i="66" s="1"/>
  <c r="N37" i="66"/>
  <c r="C56" i="66" s="1"/>
  <c r="N36" i="66"/>
  <c r="M34" i="66"/>
  <c r="L34" i="66"/>
  <c r="K34" i="66"/>
  <c r="J34" i="66"/>
  <c r="I34" i="66"/>
  <c r="H34" i="66"/>
  <c r="G34" i="66"/>
  <c r="F34" i="66"/>
  <c r="E34" i="66"/>
  <c r="D34" i="66"/>
  <c r="C34" i="66"/>
  <c r="B34" i="66"/>
  <c r="N33" i="66"/>
  <c r="C54" i="66" s="1"/>
  <c r="N32" i="66"/>
  <c r="C53" i="66" s="1"/>
  <c r="E31" i="66"/>
  <c r="D31" i="66"/>
  <c r="C31" i="66"/>
  <c r="B31" i="66"/>
  <c r="N30" i="66"/>
  <c r="C51" i="66" s="1"/>
  <c r="D51" i="66" s="1"/>
  <c r="N29" i="66"/>
  <c r="C50" i="66" s="1"/>
  <c r="N28" i="66"/>
  <c r="N27" i="66"/>
  <c r="D32" i="29"/>
  <c r="F32" i="29" s="1"/>
  <c r="D27" i="29"/>
  <c r="D26" i="29"/>
  <c r="D25" i="29"/>
  <c r="D23" i="29"/>
  <c r="D22" i="29"/>
  <c r="D21" i="29"/>
  <c r="D15" i="29"/>
  <c r="D14" i="29"/>
  <c r="D13" i="29"/>
  <c r="BG24" i="65"/>
  <c r="BF24" i="65"/>
  <c r="BE24" i="65"/>
  <c r="BE25" i="65" s="1"/>
  <c r="BG27" i="65"/>
  <c r="BF27" i="65"/>
  <c r="BE27" i="65"/>
  <c r="BG21" i="65"/>
  <c r="BF21" i="65"/>
  <c r="BE21" i="65"/>
  <c r="BH21" i="65" s="1"/>
  <c r="N41" i="66" l="1"/>
  <c r="C60" i="66" s="1"/>
  <c r="D60" i="66" s="1"/>
  <c r="D53" i="66"/>
  <c r="BE22" i="65"/>
  <c r="D11" i="29" s="1"/>
  <c r="D12" i="29"/>
  <c r="D8" i="29"/>
  <c r="BF22" i="65"/>
  <c r="D10" i="29" s="1"/>
  <c r="F10" i="29" s="1"/>
  <c r="BG22" i="65"/>
  <c r="D9" i="29" s="1"/>
  <c r="D24" i="29"/>
  <c r="D20" i="29"/>
  <c r="F20" i="29" s="1"/>
  <c r="BF25" i="65"/>
  <c r="BG25" i="65"/>
  <c r="D8" i="58"/>
  <c r="N58" i="66"/>
  <c r="D17" i="58" s="1"/>
  <c r="D15" i="20" s="1"/>
  <c r="D15" i="58"/>
  <c r="D23" i="58"/>
  <c r="D22" i="58"/>
  <c r="N34" i="66"/>
  <c r="C55" i="66" s="1"/>
  <c r="D55" i="66" s="1"/>
  <c r="D56" i="66"/>
  <c r="D54" i="66"/>
  <c r="N39" i="66"/>
  <c r="C58" i="66" s="1"/>
  <c r="D58" i="66" s="1"/>
  <c r="N40" i="66"/>
  <c r="C59" i="66" s="1"/>
  <c r="D59" i="66" s="1"/>
  <c r="D61" i="66"/>
  <c r="N44" i="66"/>
  <c r="D50" i="66"/>
  <c r="D57" i="66"/>
  <c r="N31" i="66"/>
  <c r="C63" i="66" l="1"/>
  <c r="D63" i="66" s="1"/>
  <c r="C52" i="66"/>
  <c r="D52" i="66" s="1"/>
  <c r="D66" i="66" s="1"/>
  <c r="G35" i="66" l="1"/>
  <c r="G45" i="66" s="1"/>
  <c r="C35" i="66"/>
  <c r="C45" i="66" s="1"/>
  <c r="B35" i="66"/>
  <c r="I35" i="66"/>
  <c r="I45" i="66" s="1"/>
  <c r="H35" i="66"/>
  <c r="H45" i="66" s="1"/>
  <c r="F35" i="66"/>
  <c r="F45" i="66" s="1"/>
  <c r="E35" i="66"/>
  <c r="E45" i="66" s="1"/>
  <c r="D35" i="66"/>
  <c r="D45" i="66" s="1"/>
  <c r="M35" i="66"/>
  <c r="M45" i="66" s="1"/>
  <c r="L35" i="66"/>
  <c r="L45" i="66" s="1"/>
  <c r="K35" i="66"/>
  <c r="K45" i="66" s="1"/>
  <c r="J35" i="66"/>
  <c r="J45" i="66" s="1"/>
  <c r="N35" i="66" l="1"/>
  <c r="B45" i="66"/>
  <c r="N45" i="66" l="1"/>
  <c r="N67" i="66"/>
  <c r="N68" i="66" s="1"/>
  <c r="K36" i="64"/>
  <c r="G36" i="64"/>
  <c r="I64" i="64"/>
  <c r="I57" i="64"/>
  <c r="I73" i="64" s="1"/>
  <c r="I84" i="64"/>
  <c r="I83" i="64"/>
  <c r="I77" i="64"/>
  <c r="I69" i="64"/>
  <c r="D25" i="57" s="1"/>
  <c r="I68" i="64"/>
  <c r="D22" i="57" s="1"/>
  <c r="I63" i="64"/>
  <c r="I62" i="64"/>
  <c r="K35" i="64"/>
  <c r="K37" i="64" s="1"/>
  <c r="I52" i="64"/>
  <c r="I45" i="64"/>
  <c r="I53" i="64"/>
  <c r="H19" i="64"/>
  <c r="H17" i="64"/>
  <c r="H16" i="64"/>
  <c r="H15" i="64"/>
  <c r="H14" i="64"/>
  <c r="H13" i="64"/>
  <c r="H12" i="64"/>
  <c r="H11" i="64"/>
  <c r="H10" i="64"/>
  <c r="H8" i="64"/>
  <c r="H7" i="64"/>
  <c r="H6" i="64"/>
  <c r="H5" i="64"/>
  <c r="H4" i="64"/>
  <c r="H3" i="64"/>
  <c r="H21" i="64" s="1"/>
  <c r="H2" i="64"/>
  <c r="F14" i="32" l="1"/>
  <c r="G14" i="32" s="1"/>
  <c r="D24" i="57"/>
  <c r="D54" i="57"/>
  <c r="D53" i="57"/>
  <c r="D20" i="57"/>
  <c r="I66" i="64"/>
  <c r="D29" i="57" s="1"/>
  <c r="D35" i="57" s="1"/>
  <c r="I75" i="64"/>
  <c r="D21" i="57"/>
  <c r="D23" i="57" s="1"/>
  <c r="I59" i="64"/>
  <c r="D9" i="57" s="1"/>
  <c r="I55" i="64"/>
  <c r="D10" i="57" s="1"/>
  <c r="I85" i="64"/>
  <c r="D41" i="57" s="1"/>
  <c r="I71" i="64"/>
  <c r="D27" i="57" s="1"/>
  <c r="I50" i="64"/>
  <c r="I51" i="64" s="1"/>
  <c r="D12" i="57" s="1"/>
  <c r="G28" i="53"/>
  <c r="N3" i="70" s="1"/>
  <c r="D12" i="20" s="1"/>
  <c r="I3" i="53"/>
  <c r="I4" i="53"/>
  <c r="I5" i="53"/>
  <c r="I6" i="53"/>
  <c r="I7" i="53"/>
  <c r="I8" i="53"/>
  <c r="I9" i="53"/>
  <c r="I10" i="53"/>
  <c r="I11" i="53"/>
  <c r="I12" i="53"/>
  <c r="I13" i="53"/>
  <c r="I14" i="53"/>
  <c r="I15" i="53"/>
  <c r="I16" i="53"/>
  <c r="I17" i="53"/>
  <c r="I18" i="53"/>
  <c r="I19" i="53"/>
  <c r="I20" i="53"/>
  <c r="I21" i="53"/>
  <c r="I22" i="53"/>
  <c r="I29" i="21"/>
  <c r="I28" i="53" l="1"/>
  <c r="E16" i="59"/>
  <c r="B14" i="32" a="1"/>
  <c r="B14" i="32" s="1"/>
  <c r="H14" i="32" s="1"/>
  <c r="D33" i="57"/>
  <c r="E35" i="57"/>
  <c r="D43" i="57"/>
  <c r="D40" i="57"/>
  <c r="D46" i="57" s="1"/>
  <c r="D48" i="57" s="1"/>
  <c r="D8" i="57"/>
  <c r="D15" i="57" s="1"/>
  <c r="D42" i="57"/>
  <c r="D11" i="57"/>
  <c r="D26" i="57"/>
  <c r="D55" i="57"/>
  <c r="F26" i="20"/>
  <c r="F12" i="20"/>
  <c r="F15" i="20"/>
  <c r="F16" i="20"/>
  <c r="F17" i="20"/>
  <c r="F18" i="20"/>
  <c r="F19" i="20"/>
  <c r="F20" i="20"/>
  <c r="F21" i="20"/>
  <c r="F22" i="20"/>
  <c r="F23" i="20"/>
  <c r="F24" i="20"/>
  <c r="F25" i="20"/>
  <c r="D28" i="57" l="1"/>
  <c r="D32" i="57"/>
  <c r="D34" i="57"/>
  <c r="D8" i="20"/>
  <c r="F8" i="20" s="1"/>
  <c r="D9" i="20"/>
  <c r="F9" i="20" s="1"/>
  <c r="D11" i="20"/>
  <c r="F11" i="20" s="1"/>
  <c r="D51" i="60"/>
  <c r="F267" i="62"/>
  <c r="F242" i="62"/>
  <c r="D30" i="60"/>
  <c r="D44" i="60"/>
  <c r="B18" i="61"/>
  <c r="AC4" i="22"/>
  <c r="D29" i="60"/>
  <c r="E3" i="62" l="1"/>
  <c r="E5" i="62"/>
  <c r="E6" i="62"/>
  <c r="E7" i="62"/>
  <c r="E8" i="62"/>
  <c r="E12" i="62"/>
  <c r="D13" i="62" s="1"/>
  <c r="E14" i="62"/>
  <c r="C15" i="62" s="1"/>
  <c r="D9" i="60" s="1"/>
  <c r="E16" i="62"/>
  <c r="D17" i="62" s="1"/>
  <c r="C37" i="62"/>
  <c r="C50" i="62"/>
  <c r="F68" i="62" s="1"/>
  <c r="F71" i="62" s="1"/>
  <c r="C85" i="62" s="1"/>
  <c r="C62" i="62"/>
  <c r="F76" i="62" s="1"/>
  <c r="F79" i="62" s="1"/>
  <c r="C86" i="62" s="1"/>
  <c r="D132" i="62" l="1"/>
  <c r="I20" i="62"/>
  <c r="F243" i="62"/>
  <c r="D46" i="60" s="1"/>
  <c r="F268" i="62"/>
  <c r="D47" i="60" s="1"/>
  <c r="C13" i="62"/>
  <c r="F8" i="60" s="1"/>
  <c r="C87" i="62"/>
  <c r="C22" i="62"/>
  <c r="C23" i="62" s="1"/>
  <c r="G8" i="62"/>
  <c r="D35" i="60" s="1"/>
  <c r="F35" i="60" s="1"/>
  <c r="G6" i="62"/>
  <c r="D33" i="60" s="1"/>
  <c r="F33" i="60" s="1"/>
  <c r="D15" i="62"/>
  <c r="F21" i="57"/>
  <c r="F9" i="60"/>
  <c r="F10" i="60"/>
  <c r="F29" i="60"/>
  <c r="F30" i="60"/>
  <c r="F31" i="60"/>
  <c r="F38" i="60"/>
  <c r="F40" i="60"/>
  <c r="F41" i="60"/>
  <c r="F44" i="60"/>
  <c r="F46" i="60"/>
  <c r="F47" i="60"/>
  <c r="F48" i="60"/>
  <c r="F49" i="60"/>
  <c r="F50" i="60"/>
  <c r="F51" i="60"/>
  <c r="G13" i="59"/>
  <c r="G15" i="59"/>
  <c r="G16" i="59"/>
  <c r="G18" i="59"/>
  <c r="G19" i="59"/>
  <c r="G20" i="59"/>
  <c r="G21" i="59"/>
  <c r="G22" i="59"/>
  <c r="G23" i="59"/>
  <c r="G24" i="59"/>
  <c r="G25" i="59"/>
  <c r="G27" i="59"/>
  <c r="G29" i="59"/>
  <c r="G10" i="59"/>
  <c r="F33" i="29"/>
  <c r="F34" i="29"/>
  <c r="F35" i="29"/>
  <c r="F37" i="29"/>
  <c r="F38" i="29"/>
  <c r="F39" i="29"/>
  <c r="F21" i="29"/>
  <c r="F22" i="29"/>
  <c r="F23" i="29"/>
  <c r="F24" i="29"/>
  <c r="F25" i="29"/>
  <c r="F26" i="29"/>
  <c r="F27" i="29"/>
  <c r="F9" i="29"/>
  <c r="F11" i="29"/>
  <c r="F12" i="29"/>
  <c r="F13" i="29"/>
  <c r="F14" i="29"/>
  <c r="F15" i="29"/>
  <c r="F8" i="29"/>
  <c r="F23" i="58"/>
  <c r="F24" i="58"/>
  <c r="F22" i="58"/>
  <c r="F16" i="58"/>
  <c r="F17" i="58"/>
  <c r="F15" i="58"/>
  <c r="F9" i="58"/>
  <c r="F10" i="58"/>
  <c r="F8" i="58"/>
  <c r="F54" i="57"/>
  <c r="F55" i="57"/>
  <c r="F56" i="57"/>
  <c r="F57" i="57"/>
  <c r="F41" i="57"/>
  <c r="F42" i="57"/>
  <c r="F43" i="57"/>
  <c r="F44" i="57"/>
  <c r="F45" i="57"/>
  <c r="F46" i="57"/>
  <c r="F47" i="57"/>
  <c r="F48" i="57"/>
  <c r="F40" i="57"/>
  <c r="F24" i="57"/>
  <c r="F25" i="57"/>
  <c r="F26" i="57"/>
  <c r="F27" i="57"/>
  <c r="F28" i="57"/>
  <c r="F29" i="57"/>
  <c r="F30" i="57"/>
  <c r="F31" i="57"/>
  <c r="F32" i="57"/>
  <c r="F33" i="57"/>
  <c r="F35" i="57"/>
  <c r="F9" i="57"/>
  <c r="F10" i="57"/>
  <c r="F11" i="57"/>
  <c r="F12" i="57"/>
  <c r="F13" i="57"/>
  <c r="F14" i="57"/>
  <c r="F15" i="57"/>
  <c r="F8" i="57"/>
  <c r="J23" i="53"/>
  <c r="K23" i="53"/>
  <c r="H23" i="53"/>
  <c r="I23" i="53" s="1"/>
  <c r="N1" i="53"/>
  <c r="J24" i="53"/>
  <c r="D14" i="20" s="1"/>
  <c r="F14" i="20" s="1"/>
  <c r="K24" i="53"/>
  <c r="J25" i="53"/>
  <c r="K25" i="53"/>
  <c r="E26" i="53"/>
  <c r="A27" i="53"/>
  <c r="J27" i="53"/>
  <c r="K27" i="53"/>
  <c r="L27" i="53" s="1"/>
  <c r="J28" i="53"/>
  <c r="K28" i="53"/>
  <c r="J29" i="53"/>
  <c r="K29" i="53"/>
  <c r="N31" i="53"/>
  <c r="N32" i="53" s="1"/>
  <c r="K171" i="42"/>
  <c r="H4" i="21"/>
  <c r="K7" i="41"/>
  <c r="K8" i="41" s="1"/>
  <c r="N1" i="21"/>
  <c r="Q171" i="42"/>
  <c r="B9" i="35"/>
  <c r="C4" i="35" s="1"/>
  <c r="D2" i="35"/>
  <c r="U22" i="22"/>
  <c r="A38" i="22"/>
  <c r="I24" i="53" l="1"/>
  <c r="D13" i="20" s="1"/>
  <c r="F13" i="20" s="1"/>
  <c r="F22" i="57"/>
  <c r="F20" i="57"/>
  <c r="F23" i="57"/>
  <c r="F53" i="57"/>
  <c r="M38" i="22"/>
  <c r="Z4" i="22"/>
  <c r="Q149" i="49"/>
  <c r="K176" i="42"/>
  <c r="K175" i="42"/>
  <c r="N53" i="22" l="1"/>
  <c r="N52" i="22"/>
  <c r="H13" i="23"/>
  <c r="I13" i="23"/>
  <c r="J13" i="23"/>
  <c r="K13" i="23"/>
  <c r="L13" i="23"/>
  <c r="M13" i="23"/>
  <c r="N13" i="23"/>
  <c r="O13" i="23"/>
  <c r="P13" i="23"/>
  <c r="Q13" i="23"/>
  <c r="R13" i="23"/>
  <c r="G13" i="23"/>
  <c r="V13" i="23"/>
  <c r="N38" i="22"/>
  <c r="I64" i="1"/>
  <c r="M25" i="21"/>
  <c r="H18" i="21"/>
  <c r="K174" i="42"/>
  <c r="K177" i="42" s="1"/>
  <c r="I76" i="1"/>
  <c r="K77" i="1"/>
  <c r="K172" i="42"/>
  <c r="P149" i="49"/>
  <c r="O149" i="49"/>
  <c r="I8" i="1" s="1"/>
  <c r="S99" i="49"/>
  <c r="S100" i="49"/>
  <c r="S101" i="49"/>
  <c r="S102" i="49"/>
  <c r="S103" i="49"/>
  <c r="S110" i="49"/>
  <c r="S111" i="49"/>
  <c r="S112" i="49"/>
  <c r="S113" i="49"/>
  <c r="S114" i="49"/>
  <c r="S115" i="49"/>
  <c r="S116" i="49"/>
  <c r="S117" i="49"/>
  <c r="S118" i="49"/>
  <c r="S119" i="49"/>
  <c r="S120" i="49"/>
  <c r="S121" i="49"/>
  <c r="S122" i="49"/>
  <c r="S123" i="49"/>
  <c r="S124" i="49"/>
  <c r="S125" i="49"/>
  <c r="S126" i="49"/>
  <c r="S127" i="49"/>
  <c r="S128" i="49"/>
  <c r="S129" i="49"/>
  <c r="S130" i="49"/>
  <c r="S131" i="49"/>
  <c r="S132" i="49"/>
  <c r="S133" i="49"/>
  <c r="S134" i="49"/>
  <c r="S135" i="49"/>
  <c r="S136" i="49"/>
  <c r="S143" i="49"/>
  <c r="S144" i="49"/>
  <c r="S145" i="49"/>
  <c r="S98" i="49"/>
  <c r="T98" i="49" s="1"/>
  <c r="S90" i="49"/>
  <c r="S79" i="49"/>
  <c r="S75" i="49"/>
  <c r="S78" i="49"/>
  <c r="S81" i="49"/>
  <c r="S82" i="49"/>
  <c r="S83" i="49"/>
  <c r="S86" i="49"/>
  <c r="S87" i="49"/>
  <c r="S88" i="49"/>
  <c r="S91" i="49"/>
  <c r="S53" i="49"/>
  <c r="S55" i="49"/>
  <c r="S56" i="49"/>
  <c r="S58" i="49"/>
  <c r="S59" i="49"/>
  <c r="S60" i="49"/>
  <c r="S63" i="49"/>
  <c r="S64" i="49"/>
  <c r="S65" i="49"/>
  <c r="S66" i="49"/>
  <c r="S68" i="49"/>
  <c r="S69" i="49"/>
  <c r="S52" i="49"/>
  <c r="S46" i="49"/>
  <c r="S44" i="49"/>
  <c r="S41" i="49"/>
  <c r="S42" i="49"/>
  <c r="S43" i="49"/>
  <c r="S38" i="49"/>
  <c r="S39" i="49"/>
  <c r="S36" i="49"/>
  <c r="S37" i="49"/>
  <c r="S33" i="49"/>
  <c r="S34" i="49"/>
  <c r="S35" i="49"/>
  <c r="S32" i="49"/>
  <c r="S28" i="49"/>
  <c r="S29" i="49"/>
  <c r="S26" i="49"/>
  <c r="S27" i="49"/>
  <c r="S25" i="49"/>
  <c r="S22" i="49"/>
  <c r="S23" i="49"/>
  <c r="S24" i="49"/>
  <c r="S21" i="49"/>
  <c r="S20" i="49"/>
  <c r="S18" i="49"/>
  <c r="S17" i="49"/>
  <c r="S14" i="49"/>
  <c r="S12" i="49"/>
  <c r="S13" i="49"/>
  <c r="S11" i="49"/>
  <c r="S10" i="49"/>
  <c r="T10" i="49" s="1"/>
  <c r="D5" i="49" l="1"/>
  <c r="I24" i="1"/>
  <c r="V98" i="49"/>
  <c r="U98" i="49"/>
  <c r="W98" i="49" s="1"/>
  <c r="D4" i="49" s="1"/>
  <c r="I12" i="1" s="1"/>
  <c r="T52" i="49"/>
  <c r="D2" i="49" s="1"/>
  <c r="I4" i="1" s="1"/>
  <c r="T75" i="49"/>
  <c r="D3" i="49" s="1"/>
  <c r="I10" i="1" s="1"/>
  <c r="G9" i="32"/>
  <c r="G10" i="32"/>
  <c r="G8" i="32"/>
  <c r="T17" i="44"/>
  <c r="I75" i="1"/>
  <c r="G20" i="44"/>
  <c r="G18" i="44"/>
  <c r="G16" i="44"/>
  <c r="G14" i="44"/>
  <c r="S17" i="44"/>
  <c r="S19" i="44"/>
  <c r="S15" i="44"/>
  <c r="S13" i="44"/>
  <c r="AD34" i="44"/>
  <c r="S60" i="26"/>
  <c r="S21" i="26"/>
  <c r="H3" i="21"/>
  <c r="H15" i="21"/>
  <c r="H16" i="21"/>
  <c r="H13" i="21"/>
  <c r="H7" i="21"/>
  <c r="H17" i="21"/>
  <c r="H21" i="21"/>
  <c r="H12" i="21"/>
  <c r="H19" i="21"/>
  <c r="H22" i="21"/>
  <c r="H14" i="21"/>
  <c r="H20" i="21"/>
  <c r="H8" i="21"/>
  <c r="H5" i="21"/>
  <c r="H10" i="21"/>
  <c r="H9" i="21"/>
  <c r="H6" i="21"/>
  <c r="H11" i="21"/>
  <c r="G18" i="21"/>
  <c r="I18" i="21" s="1"/>
  <c r="G20" i="21"/>
  <c r="E17" i="43"/>
  <c r="E24" i="43"/>
  <c r="G6" i="21"/>
  <c r="G9" i="21"/>
  <c r="G5" i="21"/>
  <c r="G22" i="21"/>
  <c r="G19" i="21"/>
  <c r="G12" i="21"/>
  <c r="G21" i="21"/>
  <c r="G17" i="21"/>
  <c r="G7" i="21"/>
  <c r="G4" i="21"/>
  <c r="G13" i="21"/>
  <c r="G16" i="21"/>
  <c r="G15" i="21"/>
  <c r="G3" i="21"/>
  <c r="G11" i="21"/>
  <c r="S54" i="26"/>
  <c r="S37" i="26"/>
  <c r="S39" i="26"/>
  <c r="S48" i="26"/>
  <c r="I18" i="1"/>
  <c r="AG3" i="44"/>
  <c r="U4" i="44" s="1"/>
  <c r="AG4" i="44"/>
  <c r="U6" i="44" s="1"/>
  <c r="G7" i="44" s="1"/>
  <c r="AG5" i="44"/>
  <c r="T15" i="44" s="1"/>
  <c r="AG6" i="44"/>
  <c r="AG7" i="44"/>
  <c r="T19" i="44" s="1"/>
  <c r="AG8" i="44"/>
  <c r="AG2" i="44"/>
  <c r="T13" i="44" s="1"/>
  <c r="S4" i="44"/>
  <c r="S6" i="44"/>
  <c r="S9" i="44"/>
  <c r="T43" i="26"/>
  <c r="T130" i="26" s="1"/>
  <c r="T123" i="26"/>
  <c r="T122" i="26"/>
  <c r="T121" i="26"/>
  <c r="T111" i="26"/>
  <c r="T113" i="26" s="1"/>
  <c r="T107" i="26"/>
  <c r="T98" i="26"/>
  <c r="T97" i="26"/>
  <c r="T88" i="26"/>
  <c r="T90" i="26" s="1"/>
  <c r="T84" i="26"/>
  <c r="T75" i="26"/>
  <c r="T74" i="26"/>
  <c r="T73" i="26"/>
  <c r="T58" i="26"/>
  <c r="T53" i="26"/>
  <c r="T38" i="26"/>
  <c r="T34" i="26"/>
  <c r="T24" i="26"/>
  <c r="T18" i="26"/>
  <c r="T13" i="26"/>
  <c r="T41" i="25"/>
  <c r="T39" i="25"/>
  <c r="I7" i="21" l="1"/>
  <c r="T83" i="26"/>
  <c r="T86" i="26" s="1"/>
  <c r="H7" i="44"/>
  <c r="I7" i="44"/>
  <c r="J7" i="44"/>
  <c r="K7" i="44"/>
  <c r="L7" i="44"/>
  <c r="M7" i="44"/>
  <c r="N7" i="44"/>
  <c r="O7" i="44"/>
  <c r="P7" i="44"/>
  <c r="Q7" i="44"/>
  <c r="R7" i="44"/>
  <c r="H5" i="44"/>
  <c r="I5" i="44"/>
  <c r="J5" i="44"/>
  <c r="K5" i="44"/>
  <c r="L5" i="44"/>
  <c r="M5" i="44"/>
  <c r="N5" i="44"/>
  <c r="O5" i="44"/>
  <c r="P5" i="44"/>
  <c r="Q5" i="44"/>
  <c r="R5" i="44"/>
  <c r="G5" i="44"/>
  <c r="T9" i="44"/>
  <c r="U9" i="44"/>
  <c r="T132" i="26"/>
  <c r="T106" i="26"/>
  <c r="T6" i="44"/>
  <c r="T4" i="44"/>
  <c r="T125" i="26"/>
  <c r="T101" i="26"/>
  <c r="T78" i="26"/>
  <c r="T12" i="25"/>
  <c r="I3" i="21"/>
  <c r="I15" i="21"/>
  <c r="I16" i="21"/>
  <c r="I13" i="21"/>
  <c r="I4" i="21"/>
  <c r="I17" i="21"/>
  <c r="I21" i="21"/>
  <c r="I12" i="21"/>
  <c r="I19" i="21"/>
  <c r="I22" i="21"/>
  <c r="I14" i="21"/>
  <c r="I20" i="21"/>
  <c r="I8" i="21"/>
  <c r="I5" i="21"/>
  <c r="I10" i="21"/>
  <c r="I9" i="21"/>
  <c r="I6" i="21"/>
  <c r="I11" i="21"/>
  <c r="K24" i="21"/>
  <c r="A28" i="21"/>
  <c r="L30" i="21"/>
  <c r="M30" i="21"/>
  <c r="M28" i="21"/>
  <c r="M29" i="21"/>
  <c r="E27" i="21"/>
  <c r="L29" i="21"/>
  <c r="L28" i="21"/>
  <c r="E9" i="43"/>
  <c r="E5" i="43"/>
  <c r="E6" i="43"/>
  <c r="E7" i="43"/>
  <c r="E8" i="43"/>
  <c r="E10" i="43"/>
  <c r="E11" i="43"/>
  <c r="E12" i="43"/>
  <c r="E13" i="43"/>
  <c r="E14" i="43"/>
  <c r="E15" i="43"/>
  <c r="E19" i="43"/>
  <c r="E21" i="43"/>
  <c r="E22" i="43"/>
  <c r="E23" i="43"/>
  <c r="E4" i="43"/>
  <c r="B13" i="32" l="1"/>
  <c r="T109" i="26"/>
  <c r="H10" i="44"/>
  <c r="I10" i="44"/>
  <c r="J10" i="44"/>
  <c r="K10" i="44"/>
  <c r="L10" i="44"/>
  <c r="M10" i="44"/>
  <c r="N10" i="44"/>
  <c r="O10" i="44"/>
  <c r="P10" i="44"/>
  <c r="Q10" i="44"/>
  <c r="R10" i="44"/>
  <c r="G10" i="44"/>
  <c r="T35" i="25"/>
  <c r="D3" i="35" l="1"/>
  <c r="D4" i="35"/>
  <c r="K173" i="42"/>
  <c r="I17" i="1"/>
  <c r="M2" i="41"/>
  <c r="C2" i="41"/>
  <c r="H20" i="41"/>
  <c r="H21" i="41" s="1"/>
  <c r="G20" i="41"/>
  <c r="G21" i="41" s="1"/>
  <c r="F20" i="41"/>
  <c r="F21" i="41" s="1"/>
  <c r="H19" i="41"/>
  <c r="G19" i="41"/>
  <c r="F19" i="41"/>
  <c r="I7" i="1" l="1"/>
  <c r="I16" i="1"/>
  <c r="E19" i="41"/>
  <c r="E20" i="41"/>
  <c r="L1" i="21"/>
  <c r="E21" i="41" l="1"/>
  <c r="L10" i="6"/>
  <c r="E10" i="6"/>
  <c r="C10" i="6"/>
  <c r="F38" i="22"/>
  <c r="G38" i="22"/>
  <c r="K11" i="21"/>
  <c r="K3" i="21"/>
  <c r="K15" i="21"/>
  <c r="K16" i="21"/>
  <c r="K13" i="21"/>
  <c r="K4" i="21"/>
  <c r="K7" i="21"/>
  <c r="K17" i="21"/>
  <c r="K21" i="21"/>
  <c r="K12" i="21"/>
  <c r="K19" i="21"/>
  <c r="K22" i="21"/>
  <c r="K14" i="21"/>
  <c r="K20" i="21"/>
  <c r="K8" i="21"/>
  <c r="K5" i="21"/>
  <c r="K10" i="21"/>
  <c r="K9" i="21"/>
  <c r="K6" i="21"/>
  <c r="S70" i="26" l="1"/>
  <c r="S68" i="26"/>
  <c r="S69" i="26"/>
  <c r="S67" i="26"/>
  <c r="S64" i="26"/>
  <c r="S65" i="26"/>
  <c r="S66" i="26"/>
  <c r="U66" i="26" s="1"/>
  <c r="S47" i="24"/>
  <c r="S48" i="24"/>
  <c r="S49" i="24"/>
  <c r="S50" i="24"/>
  <c r="S51" i="24"/>
  <c r="S52" i="24"/>
  <c r="S53" i="24"/>
  <c r="S54" i="24"/>
  <c r="S55" i="24"/>
  <c r="S56" i="24"/>
  <c r="S57" i="24"/>
  <c r="S58" i="24"/>
  <c r="S25" i="23"/>
  <c r="S26" i="23"/>
  <c r="S23" i="23"/>
  <c r="S24" i="23"/>
  <c r="S27" i="23"/>
  <c r="S28" i="23"/>
  <c r="S29" i="23"/>
  <c r="S30" i="23"/>
  <c r="S31" i="23"/>
  <c r="S32" i="23"/>
  <c r="S33" i="23"/>
  <c r="S13" i="23"/>
  <c r="S14" i="23"/>
  <c r="S15" i="23"/>
  <c r="S16" i="23"/>
  <c r="S17" i="23"/>
  <c r="S18" i="23"/>
  <c r="S19" i="23"/>
  <c r="S20" i="23"/>
  <c r="S21" i="23"/>
  <c r="M10" i="6"/>
  <c r="N10" i="6"/>
  <c r="O10" i="6"/>
  <c r="AD4" i="22"/>
  <c r="Y4" i="22"/>
  <c r="X4" i="22"/>
  <c r="W4" i="22"/>
  <c r="U6" i="22"/>
  <c r="S6" i="22"/>
  <c r="U19" i="22"/>
  <c r="R6" i="22" s="1"/>
  <c r="U18" i="22"/>
  <c r="I38" i="22"/>
  <c r="J38" i="22"/>
  <c r="I67" i="1" s="1"/>
  <c r="K38" i="22"/>
  <c r="I69" i="1" s="1"/>
  <c r="H38" i="22"/>
  <c r="L6" i="22"/>
  <c r="L7" i="22"/>
  <c r="L8" i="22"/>
  <c r="L9" i="22"/>
  <c r="L10" i="22"/>
  <c r="L11" i="22"/>
  <c r="L12" i="22"/>
  <c r="L13" i="22"/>
  <c r="L14" i="22"/>
  <c r="L15" i="22"/>
  <c r="L16" i="22"/>
  <c r="L17" i="22"/>
  <c r="L18" i="22"/>
  <c r="L19" i="22"/>
  <c r="L20" i="22"/>
  <c r="L21" i="22"/>
  <c r="L22" i="22"/>
  <c r="L23" i="22"/>
  <c r="L24" i="22"/>
  <c r="L25" i="22"/>
  <c r="L27" i="22"/>
  <c r="L28" i="22"/>
  <c r="L29" i="22"/>
  <c r="L30" i="22"/>
  <c r="L31" i="22"/>
  <c r="L32" i="22"/>
  <c r="L33" i="22"/>
  <c r="L34" i="22"/>
  <c r="L35" i="22"/>
  <c r="L36" i="22"/>
  <c r="L5" i="22"/>
  <c r="U67" i="26" l="1"/>
  <c r="U69" i="26"/>
  <c r="U68" i="26"/>
  <c r="U70" i="26"/>
  <c r="W56" i="24"/>
  <c r="W47" i="24"/>
  <c r="I28" i="21"/>
  <c r="I30" i="21"/>
  <c r="L38" i="22"/>
  <c r="V4" i="22"/>
  <c r="U4" i="22"/>
  <c r="R4" i="22"/>
  <c r="F3" i="35"/>
  <c r="F2" i="35"/>
  <c r="I19" i="1"/>
  <c r="I20" i="1"/>
  <c r="I21" i="1"/>
  <c r="I22" i="1"/>
  <c r="I23" i="1"/>
  <c r="S63" i="26"/>
  <c r="U63" i="26" s="1"/>
  <c r="S61" i="26"/>
  <c r="E8" i="32"/>
  <c r="H8" i="32" s="1"/>
  <c r="J14" i="32" s="1"/>
  <c r="D11" i="32"/>
  <c r="G11" i="32" s="1"/>
  <c r="E10" i="32"/>
  <c r="H10" i="32" s="1"/>
  <c r="M10" i="32" s="1"/>
  <c r="E9" i="32"/>
  <c r="H9" i="32" s="1"/>
  <c r="M9" i="32" s="1"/>
  <c r="U60" i="26" l="1"/>
  <c r="E11" i="32"/>
  <c r="F4" i="35"/>
  <c r="J9" i="32"/>
  <c r="I9" i="32"/>
  <c r="J10" i="32"/>
  <c r="I10" i="32"/>
  <c r="S40" i="26" l="1"/>
  <c r="I27" i="21" l="1"/>
  <c r="N31" i="21"/>
  <c r="I52" i="1"/>
  <c r="I53" i="1"/>
  <c r="I48" i="1"/>
  <c r="I47" i="1"/>
  <c r="I45" i="1"/>
  <c r="I44" i="1"/>
  <c r="I42" i="1"/>
  <c r="I41" i="1"/>
  <c r="I39" i="1"/>
  <c r="I38" i="1"/>
  <c r="I36" i="1"/>
  <c r="I35" i="1"/>
  <c r="I33" i="1"/>
  <c r="I32" i="1"/>
  <c r="L26" i="21"/>
  <c r="M26" i="21"/>
  <c r="I26" i="21"/>
  <c r="L25" i="21"/>
  <c r="I25" i="21"/>
  <c r="H12" i="25"/>
  <c r="I12" i="25"/>
  <c r="J12" i="25"/>
  <c r="K12" i="25"/>
  <c r="L12" i="25"/>
  <c r="M12" i="25"/>
  <c r="N12" i="25"/>
  <c r="O12" i="25"/>
  <c r="P12" i="25"/>
  <c r="Q12" i="25"/>
  <c r="R12" i="25"/>
  <c r="G12" i="25"/>
  <c r="S15" i="26"/>
  <c r="S19" i="25"/>
  <c r="V19" i="25" s="1"/>
  <c r="S18" i="25"/>
  <c r="S17" i="25"/>
  <c r="S16" i="25"/>
  <c r="V16" i="25" s="1"/>
  <c r="S15" i="25"/>
  <c r="S14" i="25"/>
  <c r="S13" i="25"/>
  <c r="V13" i="25" s="1"/>
  <c r="S11" i="25"/>
  <c r="N32" i="21" l="1"/>
  <c r="I62" i="1"/>
  <c r="S12" i="25"/>
  <c r="B11" i="32"/>
  <c r="H11" i="32" s="1"/>
  <c r="B12" i="32"/>
  <c r="I73" i="1"/>
  <c r="S20" i="25"/>
  <c r="V20" i="25" s="1"/>
  <c r="S21" i="25"/>
  <c r="S22" i="25"/>
  <c r="S23" i="25"/>
  <c r="S24" i="25"/>
  <c r="S25" i="25"/>
  <c r="S26" i="25"/>
  <c r="V26" i="25" s="1"/>
  <c r="S27" i="25"/>
  <c r="S28" i="25"/>
  <c r="V28" i="25" s="1"/>
  <c r="S29" i="25"/>
  <c r="V29" i="25" s="1"/>
  <c r="S30" i="25"/>
  <c r="S31" i="25"/>
  <c r="S12" i="26"/>
  <c r="S13" i="26"/>
  <c r="S14" i="26"/>
  <c r="S16" i="26"/>
  <c r="S17" i="26"/>
  <c r="S18" i="26"/>
  <c r="S19" i="26"/>
  <c r="S20" i="26"/>
  <c r="S22" i="26"/>
  <c r="S23" i="26"/>
  <c r="S24" i="26"/>
  <c r="S25" i="26"/>
  <c r="S26" i="26"/>
  <c r="S27" i="26"/>
  <c r="S28" i="26"/>
  <c r="S29" i="26"/>
  <c r="S30" i="26"/>
  <c r="S31" i="26"/>
  <c r="S32" i="26"/>
  <c r="S33" i="26"/>
  <c r="S34" i="26"/>
  <c r="S35" i="26"/>
  <c r="S36" i="26"/>
  <c r="U36" i="26" s="1"/>
  <c r="S38" i="26"/>
  <c r="S41" i="26"/>
  <c r="S42" i="26"/>
  <c r="S43" i="26"/>
  <c r="S44" i="26"/>
  <c r="S45" i="26"/>
  <c r="S46" i="26"/>
  <c r="S47" i="26"/>
  <c r="U47" i="26" s="1"/>
  <c r="S49" i="26"/>
  <c r="S50" i="26"/>
  <c r="S51" i="26"/>
  <c r="S52" i="26"/>
  <c r="S53" i="26"/>
  <c r="S55" i="26"/>
  <c r="S56" i="26"/>
  <c r="S57" i="26"/>
  <c r="S58" i="26"/>
  <c r="S59" i="26"/>
  <c r="S62" i="26"/>
  <c r="S11" i="26"/>
  <c r="S12" i="24"/>
  <c r="S13" i="24"/>
  <c r="S14" i="24"/>
  <c r="S15" i="24"/>
  <c r="S16" i="24"/>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11" i="24"/>
  <c r="W11" i="24" s="1"/>
  <c r="S11" i="23"/>
  <c r="U20" i="22"/>
  <c r="AE4" i="22"/>
  <c r="I50" i="1"/>
  <c r="U16" i="26" l="1"/>
  <c r="W41" i="24"/>
  <c r="U56" i="26"/>
  <c r="U32" i="26"/>
  <c r="U22" i="26"/>
  <c r="U11" i="26"/>
  <c r="U15" i="26"/>
  <c r="S123" i="26"/>
  <c r="U62" i="26"/>
  <c r="U61" i="26"/>
  <c r="U55" i="26"/>
  <c r="U54" i="26"/>
  <c r="U53" i="26"/>
  <c r="U52" i="26"/>
  <c r="U51" i="26"/>
  <c r="U50" i="26"/>
  <c r="U49" i="26"/>
  <c r="U48" i="26"/>
  <c r="U46" i="26"/>
  <c r="U45" i="26"/>
  <c r="U44" i="26"/>
  <c r="S130" i="26"/>
  <c r="U43" i="26"/>
  <c r="S122" i="26"/>
  <c r="U42" i="26"/>
  <c r="S121" i="26"/>
  <c r="U41" i="26"/>
  <c r="U31" i="26"/>
  <c r="U30" i="26"/>
  <c r="U29" i="26"/>
  <c r="U28" i="26"/>
  <c r="U27" i="26"/>
  <c r="U26" i="26"/>
  <c r="U21" i="26"/>
  <c r="U20" i="26"/>
  <c r="I55" i="1"/>
  <c r="AF4" i="22"/>
  <c r="S4" i="22"/>
  <c r="W5" i="22"/>
  <c r="X5" i="22"/>
  <c r="Y5" i="22"/>
  <c r="S39" i="25"/>
  <c r="W44" i="24"/>
  <c r="W38" i="24"/>
  <c r="W35" i="24"/>
  <c r="W32" i="24"/>
  <c r="W29" i="24"/>
  <c r="W26" i="24"/>
  <c r="W23" i="24"/>
  <c r="W14" i="24"/>
  <c r="S41" i="25"/>
  <c r="S35" i="25"/>
  <c r="U39" i="25" s="1"/>
  <c r="S107" i="26"/>
  <c r="S106" i="26"/>
  <c r="S111" i="26"/>
  <c r="S113" i="26" s="1"/>
  <c r="S98" i="26"/>
  <c r="S84" i="26"/>
  <c r="S74" i="26"/>
  <c r="S83" i="26"/>
  <c r="S97" i="26"/>
  <c r="S73" i="26"/>
  <c r="S88" i="26"/>
  <c r="S90" i="26" s="1"/>
  <c r="S75" i="26"/>
  <c r="AI4" i="22"/>
  <c r="T4" i="22"/>
  <c r="I56" i="1"/>
  <c r="I26" i="1"/>
  <c r="I28" i="1"/>
  <c r="I61" i="1"/>
  <c r="I70" i="1"/>
  <c r="M11" i="32"/>
  <c r="I11" i="32"/>
  <c r="J11" i="32"/>
  <c r="I51" i="1"/>
  <c r="S125" i="26" l="1"/>
  <c r="S132" i="26"/>
  <c r="I9" i="1"/>
  <c r="I68" i="1"/>
  <c r="I72" i="1"/>
  <c r="I71" i="1"/>
  <c r="I11" i="1"/>
  <c r="S86" i="26"/>
  <c r="S109" i="26"/>
  <c r="S101" i="26"/>
  <c r="S78" i="26"/>
  <c r="I49" i="1"/>
  <c r="I29" i="1"/>
  <c r="I27" i="1"/>
  <c r="I54" i="1"/>
  <c r="F8" i="6"/>
  <c r="D6" i="6"/>
  <c r="F7" i="6"/>
  <c r="F6" i="6"/>
  <c r="D8" i="6"/>
  <c r="D7" i="6"/>
  <c r="H13" i="32" l="1"/>
  <c r="I14" i="32" s="1"/>
  <c r="I14" i="1"/>
  <c r="I15" i="1"/>
  <c r="I37" i="1"/>
  <c r="I43" i="1"/>
  <c r="I34" i="1"/>
  <c r="I40" i="1"/>
  <c r="I31" i="1"/>
  <c r="I46" i="1"/>
  <c r="H12" i="32"/>
  <c r="I13" i="32" l="1"/>
  <c r="M13" i="32"/>
  <c r="J13" i="32"/>
  <c r="I13" i="1"/>
  <c r="I25" i="1"/>
  <c r="M12" i="32"/>
  <c r="J12" i="32"/>
  <c r="I12" i="32"/>
  <c r="I6" i="1" l="1"/>
  <c r="I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tc={7D5000A7-0337-421D-8B98-8E9C27B8C409}</author>
    <author>tc={2E896016-69B0-4039-A0F4-52839EDF4C2F}</author>
    <author>tc={0034F3EB-8562-4397-B37F-93F27AE05631}</author>
    <author>tc={D86B31B0-92BF-441C-A1F6-B162E5226CCB}</author>
    <author>tc={8755C188-542C-456B-919C-E60F54E43CA4}</author>
    <author>tc={DFB5B760-C1CC-4903-A26C-6F59290873AC}</author>
    <author>tc={BFA6057B-49A8-4B6D-92FD-C28829099800}</author>
    <author>tc={15E2836F-04B4-489B-A7A1-D606370B6AEA}</author>
    <author>tc={8934E8B4-854C-493A-B4B8-29A9E1EF796B}</author>
    <author>tc={CB1ABC6E-D02F-4121-B589-CC965E39D786}</author>
    <author>tc={21C15761-424B-434A-9110-43A25E25E2AC}</author>
    <author>tc={93902D0E-BA8A-4178-9CD7-B8C9A46F6A29}</author>
    <author>tc={5EE3EBCB-CADE-449C-93BD-6C290AE48119}</author>
    <author>tc={A24D6B9B-A2E0-4C53-8046-E35B1943CC18}</author>
    <author>tc={6221270C-35C4-49ED-8CB9-A3E3E8C87610}</author>
    <author>tc={2B35F00F-D441-48AD-825B-976C3520E52F}</author>
    <author>tc={805F00D5-37CC-4A6D-A405-4FECC96263E5}</author>
    <author>tc={AE622491-9E43-4EB7-9759-134707DBF878}</author>
    <author>tc={207A3313-01A8-44A0-A935-E8F7B7E6903D}</author>
  </authors>
  <commentList>
    <comment ref="F2" authorId="0" shapeId="0" xr:uid="{7D5000A7-0337-421D-8B98-8E9C27B8C409}">
      <text>
        <t>[Threaded comment]
Your version of Excel allows you to read this threaded comment; however, any edits to it will get removed if the file is opened in a newer version of Excel. Learn more: https://go.microsoft.com/fwlink/?linkid=870924
Comment:
    Scope and Boundaries of reporting, details of reporting framework Indicator has been calculated in accordance with e.g. GHG Protocol, GRESB, INREV, CSRD &amp; Relevant ESRS ect.</t>
      </text>
    </comment>
    <comment ref="G2" authorId="1" shapeId="0" xr:uid="{2E896016-69B0-4039-A0F4-52839EDF4C2F}">
      <text>
        <t xml:space="preserve">[Threaded comment]
Your version of Excel allows you to read this threaded comment; however, any edits to it will get removed if the file is opened in a newer version of Excel. Learn more: https://go.microsoft.com/fwlink/?linkid=870924
Comment:
    How has the indicator been calculated in practice , what is the source of data, any assumptions, exclusions and/or estimations applied to calculate reported figure. </t>
      </text>
    </comment>
    <comment ref="H2" authorId="2" shapeId="0" xr:uid="{0034F3EB-8562-4397-B37F-93F27AE05631}">
      <text>
        <t xml:space="preserve">[Threaded comment]
Your version of Excel allows you to read this threaded comment; however, any edits to it will get removed if the file is opened in a newer version of Excel. Learn more: https://go.microsoft.com/fwlink/?linkid=870924
Comment:
    If Methodology doc available please link here - i.e. basis of reporting document, appendix of annual report etc. </t>
      </text>
    </comment>
    <comment ref="I2" authorId="3" shapeId="0" xr:uid="{D86B31B0-92BF-441C-A1F6-B162E5226CCB}">
      <text>
        <t>[Threaded comment]
Your version of Excel allows you to read this threaded comment; however, any edits to it will get removed if the file is opened in a newer version of Excel. Learn more: https://go.microsoft.com/fwlink/?linkid=870924
Comment:
    Draft Indicator Value, Submitted to assurance for testing</t>
      </text>
    </comment>
    <comment ref="J2" authorId="4" shapeId="0" xr:uid="{8755C188-542C-456B-919C-E60F54E43CA4}">
      <text>
        <t>[Threaded comment]
Your version of Excel allows you to read this threaded comment; however, any edits to it will get removed if the file is opened in a newer version of Excel. Learn more: https://go.microsoft.com/fwlink/?linkid=870924
Comment:
    Reported Unit (e.g. tCO2e, m3, kWh/m2 ect)</t>
      </text>
    </comment>
    <comment ref="K2" authorId="5" shapeId="0" xr:uid="{DFB5B760-C1CC-4903-A26C-6F59290873AC}">
      <text>
        <t>[Threaded comment]
Your version of Excel allows you to read this threaded comment; however, any edits to it will get removed if the file is opened in a newer version of Excel. Learn more: https://go.microsoft.com/fwlink/?linkid=870924
Comment:
    Expected date for draft KPI to be shared with assurance team for review</t>
      </text>
    </comment>
    <comment ref="L2" authorId="6" shapeId="0" xr:uid="{BFA6057B-49A8-4B6D-92FD-C28829099800}">
      <text>
        <t>[Threaded comment]
Your version of Excel allows you to read this threaded comment; however, any edits to it will get removed if the file is opened in a newer version of Excel. Learn more: https://go.microsoft.com/fwlink/?linkid=870924
Comment:
    Link to relevant worksheet used to calculate indicator being tested</t>
      </text>
    </comment>
    <comment ref="M2" authorId="7" shapeId="0" xr:uid="{15E2836F-04B4-489B-A7A1-D606370B6AEA}">
      <text>
        <t>[Threaded comment]
Your version of Excel allows you to read this threaded comment; however, any edits to it will get removed if the file is opened in a newer version of Excel. Learn more: https://go.microsoft.com/fwlink/?linkid=870924
Comment:
    To be completed by JLL - suggested evidence required to verify reported value. To be agreed with Hibernia.</t>
      </text>
    </comment>
    <comment ref="I28" authorId="8" shapeId="0" xr:uid="{8934E8B4-854C-493A-B4B8-29A9E1EF796B}">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Query from JLL - How do we know if staff are full/part time - has the salary already been normalised?
Reply:
    The salaries have already been normalised </t>
      </text>
    </comment>
    <comment ref="I29" authorId="9" shapeId="0" xr:uid="{CB1ABC6E-D02F-4121-B589-CC965E39D78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Query from JLL - How do we know if staff are full/part time - has the salary already been normalised?
Reply:
    Salaries have already been normalised</t>
      </text>
    </comment>
    <comment ref="I50" authorId="10" shapeId="0" xr:uid="{21C15761-424B-434A-9110-43A25E25E2A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This KPI should exclude new hires during the reporting year in the nominator and denominator. Can you please amend calculation to account for this. 
Reply:
    This KPI now has the new hires removed</t>
      </text>
    </comment>
    <comment ref="I51" authorId="11" shapeId="0" xr:uid="{93902D0E-BA8A-4178-9CD7-B8C9A46F6A2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Query from JLL, can you please check. It looks as though one of the new employees has been missed out of the total count. Please update if required. 
Reply:
    There was an error in the rate calculation.  This is now corrected.</t>
      </text>
    </comment>
    <comment ref="I54" authorId="12" shapeId="0" xr:uid="{5EE3EBCB-CADE-449C-93BD-6C290AE4811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Query from JLL. Can you please check? It looks as though one of the new employees has been missed out of the total count. Please update if required. 
Reply:
    There was an error in the rate calculation.  That is now corrected.</t>
      </text>
    </comment>
    <comment ref="I57" authorId="13" shapeId="0" xr:uid="{A24D6B9B-A2E0-4C53-8046-E35B1943CC18}">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Please can you provide a screenshot of the system where this is reported and place in Evidence folder - see email sent separately for link. </t>
      </text>
    </comment>
    <comment ref="I63" authorId="14" shapeId="0" xr:uid="{6221270C-35C4-49ED-8CB9-A3E3E8C8761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can you please provide employee survey results and place in evidence folder.</t>
      </text>
    </comment>
    <comment ref="I67" authorId="15" shapeId="0" xr:uid="{2B35F00F-D441-48AD-825B-976C3520E52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Please provide an export from the system with hours of training per topic. 
Reply:
    Evidence provided</t>
      </text>
    </comment>
    <comment ref="I69" authorId="16" shapeId="0" xr:uid="{805F00D5-37CC-4A6D-A405-4FECC96263E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Please provide an export from the system with hours of training per topic. 
Reply:
    Evidence provided
Reply:
    @Louise Puplett  can you please let me know where you saved the evidence for all of these KPIs as I cannot see them in the folder I shared with you? Thanks. Neil</t>
      </text>
    </comment>
    <comment ref="I76" authorId="17" shapeId="0" xr:uid="{AE622491-9E43-4EB7-9759-134707DBF878}">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Please provide evidence e.g., an export from a system where volunteer hours are logged and the calculation methodology.  </t>
      </text>
    </comment>
    <comment ref="I77" authorId="18" shapeId="0" xr:uid="{207A3313-01A8-44A0-A935-E8F7B7E6903D}">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@Hannah O' Keeffe can you please provide here the number of student placements from 2024 - TY students only I think. As evidence can we get an email or documents that includes the names of the students who took part?
Reply:
    @Neil Menzies  - we had 2 students from CBS and one student with the development team during 2024 - I will upload some evidence docs
Reply:
    @Hannah O' Keeffe great, thank you.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tc={71C99ED9-F85A-447A-9236-683DFD4DCED5}</author>
    <author>tc={D6AE7D72-F282-4E1A-96CB-13C1543C6887}</author>
    <author>tc={7D139B14-81E0-4300-86A8-4484E8B03A19}</author>
  </authors>
  <commentList>
    <comment ref="J2" authorId="0" shapeId="0" xr:uid="{71C99ED9-F85A-447A-9236-683DFD4DCED5}">
      <text>
        <t xml:space="preserve">[Threaded comment]
Your version of Excel allows you to read this threaded comment; however, any edits to it will get removed if the file is opened in a newer version of Excel. Learn more: https://go.microsoft.com/fwlink/?linkid=870924
Comment:
    Data provided by Shuaib on 130426
</t>
      </text>
    </comment>
    <comment ref="K2" authorId="1" shapeId="0" xr:uid="{D6AE7D72-F282-4E1A-96CB-13C1543C6887}">
      <text>
        <t>[Threaded comment]
Your version of Excel allows you to read this threaded comment; however, any edits to it will get removed if the file is opened in a newer version of Excel. Learn more: https://go.microsoft.com/fwlink/?linkid=870924
Comment:
    Taken from Dec Valuations Report - emailed through by James 150426</t>
      </text>
    </comment>
    <comment ref="B17" authorId="2" shapeId="0" xr:uid="{7D139B14-81E0-4300-86A8-4484E8B03A19}">
      <text>
        <t xml:space="preserve">[Threaded comment]
Your version of Excel allows you to read this threaded comment; however, any edits to it will get removed if the file is opened in a newer version of Excel. Learn more: https://go.microsoft.com/fwlink/?linkid=870924
Comment:
    Includes offices, resi and Thorncastle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tc={B0FE6FF3-4FCA-47D7-9679-0165DB056051}</author>
    <author>tc={5642B626-0D54-4ADD-B40B-344293F0505D}</author>
  </authors>
  <commentList>
    <comment ref="D1" authorId="0" shapeId="0" xr:uid="{B0FE6FF3-4FCA-47D7-9679-0165DB056051}">
      <text>
        <t xml:space="preserve">[Threaded comment]
Your version of Excel allows you to read this threaded comment; however, any edits to it will get removed if the file is opened in a newer version of Excel. Learn more: https://go.microsoft.com/fwlink/?linkid=870924
Comment:
    BER upgrade: BMS upgrade, Variable speed pumps, LED lighting, CO2 sensors, fan wall - AHU reduction, </t>
      </text>
    </comment>
    <comment ref="D3" authorId="1" shapeId="0" xr:uid="{5642B626-0D54-4ADD-B40B-344293F0505D}">
      <text>
        <t xml:space="preserve">[Threaded comment]
Your version of Excel allows you to read this threaded comment; however, any edits to it will get removed if the file is opened in a newer version of Excel. Learn more: https://go.microsoft.com/fwlink/?linkid=870924
Comment:
    Estimated 30% reduction versus 2019 Landlord energy usage due to BER improvements and other measures. </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tc={2988EF22-9D6A-4A57-A1A1-3B48DE8A7C0C}</author>
  </authors>
  <commentList>
    <comment ref="K149" authorId="0" shapeId="0" xr:uid="{2988EF22-9D6A-4A57-A1A1-3B48DE8A7C0C}">
      <text>
        <t>[Threaded comment]
Your version of Excel allows you to read this threaded comment; however, any edits to it will get removed if the file is opened in a newer version of Excel. Learn more: https://go.microsoft.com/fwlink/?linkid=870924
Comment:
    @Hannah O' Keeffe  can you remember what definition of primary versus secondary is here in these 2 columns? I thought primary was location based and secondary was market based but that doesn’t seem to be the case. Secondary matches the Scope 2 emissions for location based in ilevel.
Reply:
    No secondary is location based and secondary is market - see column C row 8 
Reply:
    @Hannah O' Keeffe great - thanks for confirming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Louise Puplett</author>
  </authors>
  <commentList>
    <comment ref="C6" authorId="0" shapeId="0" xr:uid="{37AF1D50-015B-47AD-9FB1-E7E1E96D4B62}">
      <text>
        <r>
          <rPr>
            <b/>
            <sz val="9"/>
            <color indexed="81"/>
            <rFont val="Tahoma"/>
            <family val="2"/>
          </rPr>
          <t>Louise Puplett:</t>
        </r>
        <r>
          <rPr>
            <sz val="9"/>
            <color indexed="81"/>
            <rFont val="Tahoma"/>
            <family val="2"/>
          </rPr>
          <t xml:space="preserve">
Emer Delaney
</t>
        </r>
      </text>
    </comment>
    <comment ref="D6" authorId="0" shapeId="0" xr:uid="{1FDAFF8F-7140-405C-9D9B-2E1684CFBFB2}">
      <text>
        <r>
          <rPr>
            <b/>
            <sz val="9"/>
            <color indexed="81"/>
            <rFont val="Tahoma"/>
            <family val="2"/>
          </rPr>
          <t>Louise Puplett: Adrian Byrne, Tom Nidhin. Brian Fitzpatrick, Frank Colgan</t>
        </r>
        <r>
          <rPr>
            <sz val="9"/>
            <color indexed="81"/>
            <rFont val="Tahoma"/>
            <family val="2"/>
          </rPr>
          <t xml:space="preserve">
</t>
        </r>
      </text>
    </comment>
    <comment ref="C7" authorId="0" shapeId="0" xr:uid="{C7C55392-9466-497F-BC49-57F404299067}">
      <text>
        <r>
          <rPr>
            <b/>
            <sz val="9"/>
            <color indexed="81"/>
            <rFont val="Tahoma"/>
            <family val="2"/>
          </rPr>
          <t xml:space="preserve">Louise Puplett: Lilla Balog-Biri, Sita McDermott
</t>
        </r>
        <r>
          <rPr>
            <sz val="9"/>
            <color indexed="81"/>
            <rFont val="Tahoma"/>
            <family val="2"/>
          </rPr>
          <t xml:space="preserve">
</t>
        </r>
      </text>
    </comment>
    <comment ref="D7" authorId="0" shapeId="0" xr:uid="{8D9C986C-3BCC-4BF5-A277-6E5FCE723784}">
      <text>
        <r>
          <rPr>
            <b/>
            <sz val="9"/>
            <color indexed="81"/>
            <rFont val="Tahoma"/>
            <family val="2"/>
          </rPr>
          <t xml:space="preserve">Louise Puplett: James Sharpe,Shuaib Choonara </t>
        </r>
        <r>
          <rPr>
            <sz val="9"/>
            <color indexed="81"/>
            <rFont val="Tahoma"/>
            <family val="2"/>
          </rPr>
          <t xml:space="preserve">
</t>
        </r>
      </text>
    </comment>
    <comment ref="C31" authorId="0" shapeId="0" xr:uid="{92AA0FE1-D359-4DDD-9E91-96B30618B8A1}">
      <text>
        <r>
          <rPr>
            <b/>
            <sz val="9"/>
            <color indexed="81"/>
            <rFont val="Tahoma"/>
            <family val="2"/>
          </rPr>
          <t>Louise Puplett: 5 weeks of Annual Leave and 2 weeks Bank Holidays</t>
        </r>
        <r>
          <rPr>
            <sz val="9"/>
            <color indexed="81"/>
            <rFont val="Tahoma"/>
            <family val="2"/>
          </rPr>
          <t xml:space="preserve">
</t>
        </r>
      </text>
    </comment>
    <comment ref="C44" authorId="0" shapeId="0" xr:uid="{F8470908-3914-4E99-876E-3CCFE0A50B5A}">
      <text>
        <r>
          <rPr>
            <b/>
            <sz val="9"/>
            <color indexed="81"/>
            <rFont val="Tahoma"/>
            <family val="2"/>
          </rPr>
          <t>Louise Puplett: 5 weeks of Annual Leave and 2 weeks Bank Holidays</t>
        </r>
        <r>
          <rPr>
            <sz val="9"/>
            <color indexed="81"/>
            <rFont val="Tahoma"/>
            <family val="2"/>
          </rPr>
          <t xml:space="preserve">
</t>
        </r>
      </text>
    </comment>
    <comment ref="C56" authorId="0" shapeId="0" xr:uid="{8DCB8049-E9EE-4EB6-B603-30FB9849385C}">
      <text>
        <r>
          <rPr>
            <b/>
            <sz val="9"/>
            <color indexed="81"/>
            <rFont val="Tahoma"/>
            <family val="2"/>
          </rPr>
          <t>Louise Puplett: 5 weeks of Annual Leave and 2 weeks Bank Holidays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tc={FD7AF807-8CBC-4F0F-A66C-A39CA6E23578}</author>
  </authors>
  <commentList>
    <comment ref="Z4" authorId="0" shapeId="0" xr:uid="{FD7AF807-8CBC-4F0F-A66C-A39CA6E23578}">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@Louise Puplett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tc={03CC072F-1BFC-4F94-BE0D-011F830BBA96}</author>
    <author>tc={FBC601C3-D7BD-4548-9AE2-7EF5DA3B7D67}</author>
  </authors>
  <commentList>
    <comment ref="G2" authorId="0" shapeId="0" xr:uid="{03CC072F-1BFC-4F94-BE0D-011F830BBA96}">
      <text>
        <t xml:space="preserve">[Threaded comment]
Your version of Excel allows you to read this threaded comment; however, any edits to it will get removed if the file is opened in a newer version of Excel. Learn more: https://go.microsoft.com/fwlink/?linkid=870924
Comment:
    Using GRESB recommended ratio for common areas to net lettable. 
</t>
      </text>
    </comment>
    <comment ref="M2" authorId="1" shapeId="0" xr:uid="{FBC601C3-D7BD-4548-9AE2-7EF5DA3B7D67}">
      <text>
        <t>[Threaded comment]
Your version of Excel allows you to read this threaded comment; however, any edits to it will get removed if the file is opened in a newer version of Excel. Learn more: https://go.microsoft.com/fwlink/?linkid=870924
Comment:
    Taken from Dec Valuations Report prepared by Michael. Rounded valuation on page 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tc={4363EE0C-8000-49A0-95C4-E8B308060AE3}</author>
    <author>tc={C2657483-97B0-4EAB-BC2A-4EF589309CC8}</author>
    <author>tc={FEAD7D26-92A4-4D58-A0BF-A2FB4AD4D312}</author>
    <author>tc={AD49186C-1840-4C6C-AFEE-0347CD71A170}</author>
    <author>tc={98BB697A-431C-4E1F-B679-9D2A91C1CFD5}</author>
    <author>tc={881811A2-BD59-4720-8AAC-F238822B819D}</author>
    <author>tc={CE29D746-04C4-4DC7-8A2F-A7B78434F672}</author>
    <author>tc={306F4DAE-9166-416D-9037-6584DCC7A69F}</author>
    <author>tc={D25FDEB1-2C6D-4E5F-B534-1456DEF0D9E8}</author>
  </authors>
  <commentList>
    <comment ref="K11" authorId="0" shapeId="0" xr:uid="{4363EE0C-8000-49A0-95C4-E8B308060AE3}">
      <text>
        <t>[Threaded comment]
Your version of Excel allows you to read this threaded comment; however, any edits to it will get removed if the file is opened in a newer version of Excel. Learn more: https://go.microsoft.com/fwlink/?linkid=870924
Comment:
    @Hannah O' Keeffe  can you remember what definition of primary versus secondary is here in these 2 columns? I thought primary was location based and secondary was market based but that doesn’t seem to be the case. Secondary matches the Scope 2 emissions for location based in ilevel.
Reply:
    No secondary is location based and secondary is market - see column C row 8 
Reply:
    @Hannah O' Keeffe great - thanks for confirming</t>
      </text>
    </comment>
    <comment ref="H23" authorId="1" shapeId="0" xr:uid="{C2657483-97B0-4EAB-BC2A-4EF589309CC8}">
      <text>
        <t xml:space="preserve">[Threaded comment]
Your version of Excel allows you to read this threaded comment; however, any edits to it will get removed if the file is opened in a newer version of Excel. Learn more: https://go.microsoft.com/fwlink/?linkid=870924
Comment:
    Usage updated as April 2024 error due to coolplanet-ziggy tec meter issue </t>
      </text>
    </comment>
    <comment ref="K23" authorId="2" shapeId="0" xr:uid="{FEAD7D26-92A4-4D58-A0BF-A2FB4AD4D312}">
      <text>
        <t xml:space="preserve">[Threaded comment]
Your version of Excel allows you to read this threaded comment; however, any edits to it will get removed if the file is opened in a newer version of Excel. Learn more: https://go.microsoft.com/fwlink/?linkid=870924
Comment:
    Emissions updated as April 2024 error due to coolplanet-ziggy tec meter issue </t>
      </text>
    </comment>
    <comment ref="L23" authorId="3" shapeId="0" xr:uid="{AD49186C-1840-4C6C-AFEE-0347CD71A170}">
      <text>
        <t xml:space="preserve">[Threaded comment]
Your version of Excel allows you to read this threaded comment; however, any edits to it will get removed if the file is opened in a newer version of Excel. Learn more: https://go.microsoft.com/fwlink/?linkid=870924
Comment:
    Usage updated as April 2024 error due to coolplanet-ziggy tec meter issue </t>
      </text>
    </comment>
    <comment ref="H126" authorId="4" shapeId="0" xr:uid="{98BB697A-431C-4E1F-B679-9D2A91C1CFD5}">
      <text>
        <t xml:space="preserve">[Threaded comment]
Your version of Excel allows you to read this threaded comment; however, any edits to it will get removed if the file is opened in a newer version of Excel. Learn more: https://go.microsoft.com/fwlink/?linkid=870924
Comment:
    Consumption data updated as error in data upload to RA </t>
      </text>
    </comment>
    <comment ref="H132" authorId="5" shapeId="0" xr:uid="{881811A2-BD59-4720-8AAC-F238822B819D}">
      <text>
        <t xml:space="preserve">[Threaded comment]
Your version of Excel allows you to read this threaded comment; however, any edits to it will get removed if the file is opened in a newer version of Excel. Learn more: https://go.microsoft.com/fwlink/?linkid=870924
Comment:
    Consumption data updated as error in data upload to RA </t>
      </text>
    </comment>
    <comment ref="K132" authorId="6" shapeId="0" xr:uid="{CE29D746-04C4-4DC7-8A2F-A7B78434F672}">
      <text>
        <t>[Threaded comment]
Your version of Excel allows you to read this threaded comment; however, any edits to it will get removed if the file is opened in a newer version of Excel. Learn more: https://go.microsoft.com/fwlink/?linkid=870924
Comment:
    Emissions updated as consumption data updated due to error in upload to RA</t>
      </text>
    </comment>
    <comment ref="L132" authorId="7" shapeId="0" xr:uid="{306F4DAE-9166-416D-9037-6584DCC7A69F}">
      <text>
        <t>[Threaded comment]
Your version of Excel allows you to read this threaded comment; however, any edits to it will get removed if the file is opened in a newer version of Excel. Learn more: https://go.microsoft.com/fwlink/?linkid=870924
Comment:
    Emissions updated as consumption data updated due to error in upload to RA</t>
      </text>
    </comment>
    <comment ref="H133" authorId="8" shapeId="0" xr:uid="{D25FDEB1-2C6D-4E5F-B534-1456DEF0D9E8}">
      <text>
        <t xml:space="preserve">[Threaded comment]
Your version of Excel allows you to read this threaded comment; however, any edits to it will get removed if the file is opened in a newer version of Excel. Learn more: https://go.microsoft.com/fwlink/?linkid=870924
Comment:
    Consumption data updated as error in data upload to RA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tc={835B5CED-03BE-4E2D-93B3-21E0E79FF3D4}</author>
  </authors>
  <commentList>
    <comment ref="C9" authorId="0" shapeId="0" xr:uid="{835B5CED-03BE-4E2D-93B3-21E0E79FF3D4}">
      <text>
        <t>[Threaded comment]
Your version of Excel allows you to read this threaded comment; however, any edits to it will get removed if the file is opened in a newer version of Excel. Learn more: https://go.microsoft.com/fwlink/?linkid=870924
Comment:
    17.06 UPDATED WITH PINERGY ACTUAL DATA FOR FULL YEAR</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tc={096F3CEC-F6C5-4B24-8CA7-D3EC58EA20F3}</author>
  </authors>
  <commentList>
    <comment ref="J13" authorId="0" shapeId="0" xr:uid="{096F3CEC-F6C5-4B24-8CA7-D3EC58EA20F3}">
      <text>
        <t xml:space="preserve">[Threaded comment]
Your version of Excel allows you to read this threaded comment; however, any edits to it will get removed if the file is opened in a newer version of Excel. Learn more: https://go.microsoft.com/fwlink/?linkid=870924
Comment:
    2WML April 2024 gas value updated to 4817.5479 kWh as error with coolplanet figure due to ziggy tec error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tc={010484B6-D22A-4076-90CC-8627FFD0EE80}</author>
  </authors>
  <commentList>
    <comment ref="AE1" authorId="0" shapeId="0" xr:uid="{010484B6-D22A-4076-90CC-8627FFD0EE80}">
      <text>
        <t xml:space="preserve">[Threaded comment]
Your version of Excel allows you to read this threaded comment; however, any edits to it will get removed if the file is opened in a newer version of Excel. Learn more: https://go.microsoft.com/fwlink/?linkid=870924
Comment:
    Using GRESB recommended ratio for common areas to net lettable. 
</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tc={79F81F05-B2DD-4BB1-B09E-F95B17D58460}</author>
    <author>tc={C7803754-0B45-4916-962B-C85CD151254F}</author>
  </authors>
  <commentList>
    <comment ref="B16" authorId="0" shapeId="0" xr:uid="{79F81F05-B2DD-4BB1-B09E-F95B17D58460}">
      <text>
        <t xml:space="preserve">[Threaded comment]
Your version of Excel allows you to read this threaded comment; however, any edits to it will get removed if the file is opened in a newer version of Excel. Learn more: https://go.microsoft.com/fwlink/?linkid=870924
Comment:
    Includes offices, resi and Thorncastle
</t>
      </text>
    </comment>
    <comment ref="K16" authorId="1" shapeId="0" xr:uid="{C7803754-0B45-4916-962B-C85CD151254F}">
      <text>
        <t xml:space="preserve">[Threaded comment]
Your version of Excel allows you to read this threaded comment; however, any edits to it will get removed if the file is opened in a newer version of Excel. Learn more: https://go.microsoft.com/fwlink/?linkid=870924
Comment:
    Includes offices, resi and Thorncastle
</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<sst xmlns="http://schemas.openxmlformats.org/spreadsheetml/2006/main" count="14733" uniqueCount="1602">
  <si>
    <t>Hibernia</t>
  </si>
  <si>
    <t>JLL</t>
  </si>
  <si>
    <t>KPI</t>
  </si>
  <si>
    <t>Assets</t>
  </si>
  <si>
    <t>Disclosure</t>
  </si>
  <si>
    <t>Definition of Indicator</t>
  </si>
  <si>
    <t>Methodology</t>
  </si>
  <si>
    <t>Link to Methodology Doc</t>
  </si>
  <si>
    <t>Draft Value</t>
  </si>
  <si>
    <t>Unit</t>
  </si>
  <si>
    <t>Deadline for KPI completion</t>
  </si>
  <si>
    <t>Link to Worksheet</t>
  </si>
  <si>
    <t>Required Evidence</t>
  </si>
  <si>
    <t>Client Comments</t>
  </si>
  <si>
    <t>Assurer Comments</t>
  </si>
  <si>
    <t>Link to workings</t>
  </si>
  <si>
    <t>GRESB/TCFD/CDP/Annual Report</t>
  </si>
  <si>
    <t>Framework</t>
  </si>
  <si>
    <t>To audit 2025</t>
  </si>
  <si>
    <t>Scope and Boundaries of reporting, details of reporting framework Indicator has been calculated in accordance with e.g. GHG Protocol, GRESB, INREV, CSRD &amp; Relevant ESRS ect.</t>
  </si>
  <si>
    <t>How has the indicator been calculated in practice , what is the source of data, any assumptions, exclusions and/or estimations applied to calculate reported figure.</t>
  </si>
  <si>
    <t xml:space="preserve">If Methodology doc available please link here - i.e. basis of reporting document, appendix of annual report etc. </t>
  </si>
  <si>
    <t>Draft Indicator Value, Submitted to assurance for testing</t>
  </si>
  <si>
    <t>Reported Unit (e.g. tCO2e, m3, kWh/m2 ect)</t>
  </si>
  <si>
    <t>Expected date for draft KPI to be shared with assurance team for review</t>
  </si>
  <si>
    <t>Link to relevant worksheet used to calculate indicator being tested</t>
  </si>
  <si>
    <t>To be completed by JLL - suggested evidence required to verify reported value. To be agreed with Hibernia.</t>
  </si>
  <si>
    <t>Energy</t>
  </si>
  <si>
    <t>all assets</t>
  </si>
  <si>
    <t>GRESB</t>
  </si>
  <si>
    <t>GRI Energy 2016: 302</t>
  </si>
  <si>
    <t>yes</t>
  </si>
  <si>
    <t xml:space="preserve">Total actual energy (electricity and gas) required to operate our portfolio at the whole building level (both landlord and occupier spaces) as per GRESB reporting requirements  (includes electrical energy generated from onsite renewables).
All assets owned and operated in the reporting year. </t>
  </si>
  <si>
    <t>Landlord Elec and Gas - Obtained from a mixture of AMR and BMS data extracted by CoolPlanet
Occupier Elec and Gas -Acquired through mixture of AMR and BMS data and via email correspondence from occupier directly
Onsite renewables - Data from solar pv panels obtained from either BMS or from Fronius online solar dashboard.
Estimations only applied to fill gaps in data (missing hours, days or weeks) as per GRESB methodology for allowable estimated data - not where an entire year of data is missing.</t>
  </si>
  <si>
    <t>TBD</t>
  </si>
  <si>
    <t>kWh</t>
  </si>
  <si>
    <t>Energy-Intensity</t>
  </si>
  <si>
    <t>managed offices</t>
  </si>
  <si>
    <t xml:space="preserve">Annual Report </t>
  </si>
  <si>
    <t>GRI Energy 2016: 302-3</t>
  </si>
  <si>
    <t>Energy intensity per m2 GIA (Gross Internal Area) for same number of buildings. 
All managed standing office assets owned and operated in the reporting year.</t>
  </si>
  <si>
    <t>Nominator = As per EN1
Denominator = m2 GIA - whole building measurements</t>
  </si>
  <si>
    <t>kWh/m2</t>
  </si>
  <si>
    <t>Energy-Intensity target</t>
  </si>
  <si>
    <t>GRI Energy 2016: 302-4</t>
  </si>
  <si>
    <t xml:space="preserve">Energy-Int versus 2030 target of 153 kWhe/m2 </t>
  </si>
  <si>
    <t xml:space="preserve">% improvement versus target year
</t>
  </si>
  <si>
    <t>% reduction</t>
  </si>
  <si>
    <t>Greenhouse Gas Emissions</t>
  </si>
  <si>
    <t>all available data</t>
  </si>
  <si>
    <t>GRI Emissions 2016: 305</t>
  </si>
  <si>
    <t xml:space="preserve">Total GHG emissions (Scope 1, 2 and 3) emitted in operating our office portfolio at whole building level (landlord and occupier) as per GRESB reporting requirements.
All office assets owned and operated in the reporting year. </t>
  </si>
  <si>
    <t>Conversion of data from EN1 using the relevant conversion factors.
Scope 1 - Fuel - IEA Emissions Factors for 2022 (CO2, N2O and CH4)
Scope 2 - Elec - IEA Emissions Factors for 2022 (CO2, N2O and CH4)
Scope 3 - Downstream Leased Assets - Fuel and Electricity - IEA Emissions Factors for 2022 (CO2, N2O and CH4)</t>
  </si>
  <si>
    <t>mtCo2e</t>
  </si>
  <si>
    <t>Water</t>
  </si>
  <si>
    <t>GRI Water &amp; Effluents 2018: 303-5</t>
  </si>
  <si>
    <t xml:space="preserve">Total water consumed in operating our portfolio at whole building level (both landlord and occupier spaces).
All assets owned and operated in the reporting year. </t>
  </si>
  <si>
    <t>Obtained from a mixture of invoice, AMR and BMS data extracted by CoolPlanet
Occupier Water - Acquired via email correspondence from occupier directly
Estimations applied to fill gaps in data (missing hours, days or weeks)  and where an entire year of data is missing.</t>
  </si>
  <si>
    <t>m3</t>
  </si>
  <si>
    <t xml:space="preserve">Total water consumed in operating our portfolio at whole building level (both landlord and occupier spaces) as per GRESB reporting requirements.
All assets owned and operated in the reporting year. </t>
  </si>
  <si>
    <t>Obtained from a mixture of invoice, AMR and BMS data extracted by CoolPlanet
Occupier Water - Acquired via email correspondence from occupier directly
Estimations only applied to fill gaps in data (missing hours, days or weeks) as per GRESB methodology for allowable estimated data - not where an entire year of data is missing.</t>
  </si>
  <si>
    <t>Waste</t>
  </si>
  <si>
    <t>GRI Waste 2020: 306-5</t>
  </si>
  <si>
    <t xml:space="preserve">Total waste generated in operating our portfolio at whole building level (both landlord and occupier spaces).
All assets owned and operated in the reporting year. </t>
  </si>
  <si>
    <t>Obtained from invoice data extracted by CoolPlanet
Occupier Waste - Acquired via email correspondence from occupier directly
Estimations applied to fill gaps in data  and where an entire year of data is missing.</t>
  </si>
  <si>
    <t>tonnes</t>
  </si>
  <si>
    <t xml:space="preserve">Total waste generated in operating our portfolio at whole building level (both landlord and occupier spaces) as per GRESB reporting requirements.
All assets owned and operated in the reporting year. </t>
  </si>
  <si>
    <t>Obtained from invoice data extracted by CoolPlanet
Occupier Waste - Acquired via email correspondence from occupier directly
Estimations only applied to fill gaps in data as per GRESB methodology for allowable estimated data - not where an entire year of data is missing.</t>
  </si>
  <si>
    <t>Total electricity consumed</t>
  </si>
  <si>
    <t xml:space="preserve">Total electricity required to operate our portfolio at whole building level (both landlord and occupier spaces)  (excludes electricity generated from onsite renewables).
All assets owned and operated in the reporting year. </t>
  </si>
  <si>
    <t>Landlord Elec - Obtained from a mixture of AMR and BMS data extracted by CoolPlanet
Occupier Elec - Acquired through mixture of AMR and BMS data and via email correspondence from occupier directly
Estimations applied to fill gaps in data (missing hours, days or weeks)  and where an entire year of data is missing.</t>
  </si>
  <si>
    <t>Total electricity consumed from onsite renewable sources</t>
  </si>
  <si>
    <t xml:space="preserve">Total onsite renewable electricity generated across our portfolio. 
All assets owned and operated in the reporting year. </t>
  </si>
  <si>
    <t>Obtained from a mixture of BMS and online solar software data extracted by CoolPlanet and sustainability executive. 
Estimations applied to fill gaps in data (missing hours, days or weeks)  and where an entire year of data is missing.</t>
  </si>
  <si>
    <t>Total fuel consumed</t>
  </si>
  <si>
    <t xml:space="preserve">Total fuel required to operate our portfolio at whole building level (both landlord and occupier spaces) .
All standing assets owned and operated in the reporting year. </t>
  </si>
  <si>
    <t>Landlord Gas - Obtained from a mixture of AMR and BMS data extracted by CoolPlanet
Occupier Gas - Acquired through mixture of AMR and BMS data and via email correspondence from occupier directly
Estimations applied to fill gaps in data (missing hours, days or weeks)  and where an entire year of data is missing.</t>
  </si>
  <si>
    <t>Total Scope 1 Emissions</t>
  </si>
  <si>
    <t>GRI Emissions 2016: 305-1</t>
  </si>
  <si>
    <t>Total GHG emissions (Scope 1) emiitted in operating our managed office and residential portfolio at whole building level (landlord and head office only).
All managed standing office, head office and residential assets owned and operated in the reporting year.</t>
  </si>
  <si>
    <t>Conversion of data from Fuel-Abs using the relevant conversion factors.
Scope 1 - Fuel - IEA Emissions Factors for 2022 (CO2, N2O and CH4)</t>
  </si>
  <si>
    <t>Total Scope 2 Emissions</t>
  </si>
  <si>
    <t>GRI Emissions 2016: 305-2</t>
  </si>
  <si>
    <t>Total GHG emissions (Scope 2) emiitted in operating our managed office and residential portfolio at whole building level (both landlord and head office only).
All managed standing office, head office and residential assets owned and operated in the reporting year.</t>
  </si>
  <si>
    <t>Conversion of data from Elec-Abs using the relevant conversion factors.
Scope 2 - Elec - IEA Emissions Factors for 2022 (CO2, N2O and CH4)</t>
  </si>
  <si>
    <t>Scope 3 Emissions - Cat 1</t>
  </si>
  <si>
    <t>GRI Emissions 2016: 305-3</t>
  </si>
  <si>
    <t>Extraction, production, and transportation of goods and services purchased or aquired in the reporting year, not otherwise included in Categories 2-8</t>
  </si>
  <si>
    <t>- Used cost data as primary data from Hibernia excel sheets that were provided by client.
- All purchased goods and services costs were accounted for under this category, except for those associated with asset major refurbishments and construction activities, which were accounted for in capital goods.
- The costs were then assigned to their respective categories as the emission factor for these categories was used to convert spend data to emissions.
- To derive carbon emissions from cost, the 2022 UKEEIO data (DEFRA) was used https://www.gov.uk/government/statistics/uks-carbon-footprint
- Cost data was provided in euros and converted to pounds for use with DEFRA emissions factors and the cost data was converted into Pounds using exchange rate Average of 2024. (I EUR &gt; 1 GBP = 0.853 https://www.ons.gov.uk/economy/nationalaccounts/balanceofpayments/timeseries/thap/mret)</t>
  </si>
  <si>
    <t>Scope 3 Emissions - Cat 2</t>
  </si>
  <si>
    <t>Extraction, production, and transportation of capital goods and services purchased or aquired in the reporting company in the reporting year</t>
  </si>
  <si>
    <t xml:space="preserve"> - Used whole life carbon assessments as primary data, which was provided to us by Hibernia
- All emissions from major refurbishments and construction activities are accounted under this category.
- Similar to the approach for Cat 1, the costs were then assigned to their respective categories as the emission factor for these categories was used to convert spend data to emissions
- Emissions for Harcourt square which were reported in 2023 have been removed to avoid double counting </t>
  </si>
  <si>
    <t>Scope 3 Emissions - Cat 3</t>
  </si>
  <si>
    <t>Extraction, production, and transportation of fuels and energy purchased or aquired in the reporting year, not already accounted for in scope 1 and scope 2</t>
  </si>
  <si>
    <t>- Used Scope 1 and 2 primary data (kWh) provided by Hibernia to derive the emissions associated with the (1) Energy losses occurred during the generation of electricity, (2) Energy losses occurred during the transportation and distribution of electricity from the generator to the meter, known as T&amp;D losses, (3) Fuel losses occurred during the transportation of the fuel from well to tank, known as WTT losses.
- 2024 Defra conversion factors were used to calculate the above emissions - see tab Emission Factors</t>
  </si>
  <si>
    <t>Scope 3 Emissions - Cat 5</t>
  </si>
  <si>
    <t>Disposal and treatment of waste generated in the reporting year (in facilities owned or controlled)</t>
  </si>
  <si>
    <t xml:space="preserve"> - Used total waste quantity provided by Hibernia as primary data (tonnes) to derive the emissions associated with waste generated in operations.
 - 2024 Defra conversion factors were used to calculate the above emissions based on whether the waste was going to be incinerated, recycled or composted, done by Schnieders.</t>
  </si>
  <si>
    <t>Scope 3 Emissions - Cat 6</t>
  </si>
  <si>
    <t>Transportation of employees for business-related activities during the reporting year (in vechicles not owned or operated)</t>
  </si>
  <si>
    <t xml:space="preserve"> - Used business travel distances provided by Hibernia as primary data (air miles and passenger km) to derive the emissions associated with business travel along with a record of Hibernia expenses and spend with a travel agent 
- 2024 Defra conversion factors were used to calculate the above emissions - see tab Emissions Factors.
- For air travel emissions, the carbon factors used include radiative forcing (RF) as per Defra's recommendation:  “Organisations should include the influence of radiative forcing RF in air travel emissions to capture the maximum climate impact of their travel habits."
- For taxi travel emissions, the carbon factor for average taxi was used, while for chauffer services and other travel costs, emission factor for 'other transportation and support activities' was used and identified as the most relevant one
</t>
  </si>
  <si>
    <t>Scope 3 Emissions - Cat 7</t>
  </si>
  <si>
    <t>Transportation of employees between their homes and their worksites during the reporting year (in vehicles not owned or controlled by the reporting company)</t>
  </si>
  <si>
    <t xml:space="preserve"> - Used commuting travel distances provided by Hibernia as primary data (air miles for one employee - Tom - who commutes between London and Dublin to office and back home once a week) to derive the associated emissions.
- 2024 Defra conversion factors were used to calculate Tom's emissions form air travel - see tab Emission Factors.
- For air travel emissions, the carbon factors used include radiative forcing (RF) as per Defra's recommendation:  “Organisations should include the influence of radiative forcing RF in air travel emissions to capture the maximum climate impact of their travel habits."
- For other employee's a travel survey was conducted where total distance via each transport mode per day, one way, was calculated by Hibernia. We then used the average of these distances times 2 (to get both ways) and multiplied this by the frequency of back and forth to get total distance covered. 
- Frequency is calculated by the  number of working days in Ireland 2024  and then divided by 2 on the assumption that employee's work from home approximately half their week.
- This total distance was then multiplied by DEFRA 2024 conversion factors
</t>
  </si>
  <si>
    <t>Scope 3 Emissions - Cat 13</t>
  </si>
  <si>
    <t>Operations of assets owned and leased to other entities in the reporting year, that are within operational control, and that are not included in scope 1 and scope 2</t>
  </si>
  <si>
    <t xml:space="preserve">-Used the total tenant emissions for 2024, which was collected by the client and provided to JJ.
- The IEA Emissions Factors for 2022 (CO2, N2O and CH4) were used to provide emissions for tenant electricity and gas, a process which was done by Schneider Electric and verified by JLL.
</t>
  </si>
  <si>
    <t>GHG Emissions Intensity (Scope 1, 2 and 3 (Category 13)</t>
  </si>
  <si>
    <t>GRI Emissions 2016: 305-4</t>
  </si>
  <si>
    <t>Operations of assets owned and leased to other entities in the reporting year, that are within operational control.</t>
  </si>
  <si>
    <t>Nominator = Total Scope 1, Total Scope 2 and Scope 3 Cat 13 
Denominator = Total area of assets GIA</t>
  </si>
  <si>
    <t>kg CO2e/m2</t>
  </si>
  <si>
    <t>Diversity Employee Gender</t>
  </si>
  <si>
    <t>Entity</t>
  </si>
  <si>
    <t>GRI Diversity &amp; Equal Opportunity 2016: 405-1</t>
  </si>
  <si>
    <t>All staff at end of reporting year split between senior management and executive staff.</t>
  </si>
  <si>
    <t>All staff are logged in the Hibernia HR system - including each employees gender (male or female)
Once annually for ESG reporting the HR manager calculates the ratio of no. of female to no. of male employees separately for all Senior Management and All Executive staff.
Senior Mgt</t>
  </si>
  <si>
    <t>%</t>
  </si>
  <si>
    <t xml:space="preserve"> All Executive staff.</t>
  </si>
  <si>
    <t>Diversity Employee Pay</t>
  </si>
  <si>
    <t>All staff are logged in the Hibernia HR system - including each employees salary.
Once annually for ESG reporting the HR manager calculates the average annual salary (normalised for 5/weekdays for those staff working less than 5 days a week) and the ratio for male pay to female pay separately for all Senior Management and All Executive staff.
Senior Mgt</t>
  </si>
  <si>
    <t>Diversity Employee Age Distribution</t>
  </si>
  <si>
    <t>All staff are logged in the Hibernia HR system - including each employees age.
Once annually for ESG reporting the HR manager calculates the ratio of no. of female to no. of male employees separately for all Senior Management and All Executive staff based on age group (0-30 years old, 31-50 years old or over 51 years old)</t>
  </si>
  <si>
    <t>Hibernia Assurance KPI Tracker.xlsx</t>
  </si>
  <si>
    <t>All Staff 0-30 %</t>
  </si>
  <si>
    <t>All Staff 0-30 Male</t>
  </si>
  <si>
    <t>All Staff 0-30 Female</t>
  </si>
  <si>
    <t>Senior Management 0-30 %</t>
  </si>
  <si>
    <t>Senior Management 0-30 Male</t>
  </si>
  <si>
    <t>Senior Managemen 0-30 Female</t>
  </si>
  <si>
    <t>All Staff 31-50 %</t>
  </si>
  <si>
    <t>All Staff 31-50  Male</t>
  </si>
  <si>
    <t>All Staff 31-50  Female</t>
  </si>
  <si>
    <t>Senior Management 31-50 %</t>
  </si>
  <si>
    <t>Senior Management 31-50  Male</t>
  </si>
  <si>
    <t>Senior Management 31-50  Female</t>
  </si>
  <si>
    <t>All Staff 51 plus %</t>
  </si>
  <si>
    <t>All Staff 51 plus Male</t>
  </si>
  <si>
    <t>All Staff 51 plus Female</t>
  </si>
  <si>
    <t>Senior Management 51 plus %</t>
  </si>
  <si>
    <t>Senior Management 51 plus Male</t>
  </si>
  <si>
    <t>Senior Management 51 plus Female</t>
  </si>
  <si>
    <t>Employee Training</t>
  </si>
  <si>
    <t>GRI Training and Education 2016: 404-3</t>
  </si>
  <si>
    <t>All staff at end of reporting year - includes new hires.</t>
  </si>
  <si>
    <t>All staff are logged in the Hibernia HR system - including hours of continuous professional development per employee
Once annually for ESG reporting the HR manager calculates average number of CPD hours per person for all employees in the company.
Total no. hours logged/number of staff at end of calendar year.</t>
  </si>
  <si>
    <t>Avge hours</t>
  </si>
  <si>
    <t>Employee Development</t>
  </si>
  <si>
    <t>All staff at end of reporting year -excludes new hires.</t>
  </si>
  <si>
    <t xml:space="preserve">All staff are logged in the Hibernia HR system - including details of their objectives review carried out each year. 
Once annually for ESG reporting the HR manager calculates the percentage of employees who have had their annual objectives review completed versus those who have not. 
Any employees who joined or left the company during the reporting year are excluded from the calculation. </t>
  </si>
  <si>
    <t>Employee - new hires</t>
  </si>
  <si>
    <t>GRI Employment 2016: 401-1</t>
  </si>
  <si>
    <t>All staff at end of reporting year.</t>
  </si>
  <si>
    <t>The HR system logs those staff who have been hired and their commencement dates.
Once annually for ESG reporting the HR manager calculates the percentage of employees who have joined the company during the calendar year and their gender. The total number of new hires and the ratio of female to male are calculated.</t>
  </si>
  <si>
    <t>Ratio</t>
  </si>
  <si>
    <t>Female</t>
  </si>
  <si>
    <t xml:space="preserve">Total </t>
  </si>
  <si>
    <t>Male</t>
  </si>
  <si>
    <t>Employee - turnover</t>
  </si>
  <si>
    <t>The HR system logs those staff who have left and their leaving dates.
Once annually for ESG reporting the HR manager calculates the percentage of employees who have left the company during the calendar year and their gender. The total number of leavers and the ratio of female to male are calculated.</t>
  </si>
  <si>
    <t>Health and Safety - Employees</t>
  </si>
  <si>
    <t>GRI Occupational Health and Safety: 403-1</t>
  </si>
  <si>
    <t>The HR system logs those staff who have been absent due to a work place injury or accident for longer than 3 days and their absence has been logged as a lost day incident with the HSE.
Once annually for ESG reporting the HR manager calculates the total number of lost days for all staff due to workplace accidents/incidents as a ratio of total days worked across all staff.</t>
  </si>
  <si>
    <t>Health and Safety - Assets</t>
  </si>
  <si>
    <t xml:space="preserve">All managed offices and residential assets at end of reporting year. </t>
  </si>
  <si>
    <t>All managed assets carry out some sort of health and safety assessments (in the form of an ISO45001 audit/inspection, asset due diligence, insurance inspection or other) every 2  3 years and these are logged by the respective asset managers/building managers in the company online database for documentation.  
The ratio of the assessments carried out versus the number of assets is calculated separately across managed office assets and managed residential assets.
Managed Office Assets</t>
  </si>
  <si>
    <t>Managed residential Assets</t>
  </si>
  <si>
    <t>Health and Safety Compliance</t>
  </si>
  <si>
    <t>All managed assets and head office operations</t>
  </si>
  <si>
    <t xml:space="preserve">If an inspection is carried out by the HSE or a public official then this is logged and if a non compliance is issued (e.g. site closed) then this is also logged and reported intyerally and to Brookfield. The total number of these non compliances is calculated annually. </t>
  </si>
  <si>
    <t>#</t>
  </si>
  <si>
    <t>Absentee rate</t>
  </si>
  <si>
    <t>All Hibernia Staff at end of reporting year</t>
  </si>
  <si>
    <t>The HR system logs those staff who have been absent for whatever reason (other than annual leave).
Once annually for ESG reporting the HR manager calculates the total number of lost days for all staff due to workplace accidents/incidents as a ratio of total days worked across all staff.</t>
  </si>
  <si>
    <t>Community Engagement</t>
  </si>
  <si>
    <t>GRI Local Communities 2016: 413-2</t>
  </si>
  <si>
    <t>All office assets at end of reporting year</t>
  </si>
  <si>
    <t xml:space="preserve">Each asset compiles a log of community activities (for employees in the building or externally) and once annually for ESG reporting the % of assets where these activities are taking place versus assets with no activities. </t>
  </si>
  <si>
    <t>Employee satisfaction</t>
  </si>
  <si>
    <t xml:space="preserve">Every 2 years an employee survey is carried out and the overall satisfaction score recorded - Currently using Gallup which gives a score out of 5. For reporting we scale this up to a score out of 100. </t>
  </si>
  <si>
    <t>Score</t>
  </si>
  <si>
    <t>Occupier satisfaction</t>
  </si>
  <si>
    <t>All occupiers</t>
  </si>
  <si>
    <t>Every 2 years an occuper survey is carried out and the overall satisfaction score recorded as Net Promoter Score.</t>
  </si>
  <si>
    <t>Employee Health and Wellbeing</t>
  </si>
  <si>
    <t xml:space="preserve">The operations team record the number of Health and Wellbeing initiatives offered to employees each year. </t>
  </si>
  <si>
    <t>Incidents of Anti Bribery and Corruption</t>
  </si>
  <si>
    <t>GRI Anti-corruption 2016: 205-2</t>
  </si>
  <si>
    <t xml:space="preserve">The risk and compliance team record the number of Anti-bribery and corruption incidents that occur each year and report these quarterly to Brookfield and in risk and compliance committee meetings.  </t>
  </si>
  <si>
    <t>Anti Bribery and Corruption Training</t>
  </si>
  <si>
    <t>All staff are logged in the Hibernia HR system - including hours of continuous professional development per employee
Once annually for ESG reporting the HR manager calculates total number of CPD hours relating to ANti Bribery and Corruption for all employees in the company.
Total no. hours logged in the calendar year.</t>
  </si>
  <si>
    <t>hours</t>
  </si>
  <si>
    <t>No. hours logged per member of staff at end of calendar year.</t>
  </si>
  <si>
    <t>hours/employee</t>
  </si>
  <si>
    <t>Cyber Security Training</t>
  </si>
  <si>
    <t>All staff are logged in the Hibernia HR system - including hours of continuous professional development per employee
Once annually for ESG reporting the HR manager calculates total number of CPD hours relating to Cyber Security for all employees in the company.
Total no. hours logged in the calendar year.</t>
  </si>
  <si>
    <t>LEED BD+C - Coverage</t>
  </si>
  <si>
    <t>TCFD: Metrics and Targets (c)</t>
  </si>
  <si>
    <t>Managed office portfolio</t>
  </si>
  <si>
    <t xml:space="preserve">Any asset that has gained LEED BD+C certification receives a certificate that is kept on file sharing system. The ratio of rental income from managed office assets that these certificates amount to versus the rental income from managed assets without is calculated at the end of each year. </t>
  </si>
  <si>
    <t>LEED O+M - Coverage</t>
  </si>
  <si>
    <t xml:space="preserve">Any asset that has gained LEED O+M certification receives a certificate that is kept on file sharing system. The ratio of rental income from managed office assets that these certificates amount to versus the rental income from managed assets without is calculated at the end of each year. </t>
  </si>
  <si>
    <t>WELL H&amp;S Rating - Coverage</t>
  </si>
  <si>
    <t xml:space="preserve">Any asset that has gained WELL HSR certification receives a certificate that is kept on file sharing system. The % of managed office assets with certificates is calculated at the end of each year. </t>
  </si>
  <si>
    <t>BER - Coverage</t>
  </si>
  <si>
    <t>All portfolio assets owned at end of reporting year.</t>
  </si>
  <si>
    <t xml:space="preserve">Any asset that has gained a BER certificate receives a certificate that is kept on file sharing system. The % of assets with certificates is calculated at the end of each year. </t>
  </si>
  <si>
    <t>ESG Supplier due diligence</t>
  </si>
  <si>
    <t>All property managememt and corporate operations suppliers</t>
  </si>
  <si>
    <t>Any supplier that has been screened during set up for any ESG criteria is logged by the risk and compliance and finance teams using the supplier due diligence process. 
Nominator = All suppliers on the supplier log that have been screened for ESG criteria
Denominator = All suppliers on the supplier log</t>
  </si>
  <si>
    <t>Staff volunteer hours</t>
  </si>
  <si>
    <t>All staff are logged in the Hibernia HR system - including hours ofvolunteering per employee
Once annually for ESG reporting the HR manager calculates total number of hours relating to volunteering for all employees in the company.
Total no. hours logged in the calendar year.</t>
  </si>
  <si>
    <t>Work placements</t>
  </si>
  <si>
    <t>Worl placements that took place in the Head Office</t>
  </si>
  <si>
    <t>the number of workplaces hosted annually (college or school students) is logged by the Operations department.</t>
  </si>
  <si>
    <t>To audit 2024</t>
  </si>
  <si>
    <t>no</t>
  </si>
  <si>
    <t>managed offices and residential</t>
  </si>
  <si>
    <t>TCFD</t>
  </si>
  <si>
    <t>CDP</t>
  </si>
  <si>
    <t>All</t>
  </si>
  <si>
    <t>GRESB and Annual Report</t>
  </si>
  <si>
    <t>Total</t>
  </si>
  <si>
    <t xml:space="preserve">All Staff </t>
  </si>
  <si>
    <t>AGE ANALYSIS</t>
  </si>
  <si>
    <t>By Employee Category</t>
  </si>
  <si>
    <t>Active 31/12/24</t>
  </si>
  <si>
    <t xml:space="preserve">New hires rate: </t>
  </si>
  <si>
    <t>Leavers</t>
  </si>
  <si>
    <t>Overall</t>
  </si>
  <si>
    <t>CEO/Special Advisor</t>
  </si>
  <si>
    <t>SMT</t>
  </si>
  <si>
    <t>Senior Professional</t>
  </si>
  <si>
    <t>Professional</t>
  </si>
  <si>
    <t>Support</t>
  </si>
  <si>
    <t>Joiners</t>
  </si>
  <si>
    <t>turnover rate:</t>
  </si>
  <si>
    <t>Average Age</t>
  </si>
  <si>
    <t>Active 31/12/25</t>
  </si>
  <si>
    <t>Age 20 to 29</t>
  </si>
  <si>
    <t>Age 30 to 39</t>
  </si>
  <si>
    <t>Age 40 to 49</t>
  </si>
  <si>
    <t>Staff Analysis by Category</t>
  </si>
  <si>
    <t>Age 50 to 59</t>
  </si>
  <si>
    <t>Executive Staff</t>
  </si>
  <si>
    <t>Age 60+</t>
  </si>
  <si>
    <t xml:space="preserve"> </t>
  </si>
  <si>
    <t>Senior Mgmt Team</t>
  </si>
  <si>
    <t>Executive Directors</t>
  </si>
  <si>
    <t xml:space="preserve">Total 2025 volunteer hours </t>
  </si>
  <si>
    <t xml:space="preserve">average per employee </t>
  </si>
  <si>
    <t>Employee Turnover Rate %</t>
  </si>
  <si>
    <t>Average headcount</t>
  </si>
  <si>
    <t xml:space="preserve">Employee Turrnover </t>
  </si>
  <si>
    <t>Total Hours Worked by all Employees</t>
  </si>
  <si>
    <t>Age 0 to 30</t>
  </si>
  <si>
    <t>Age 31 to 50</t>
  </si>
  <si>
    <t>Weeks worked per year</t>
  </si>
  <si>
    <t>Age 51 plus</t>
  </si>
  <si>
    <t>Hours worked per week</t>
  </si>
  <si>
    <t>Full time employees</t>
  </si>
  <si>
    <t>FTE for part time workers</t>
  </si>
  <si>
    <t xml:space="preserve">Total Hours Worked </t>
  </si>
  <si>
    <t>Employee engagement:</t>
  </si>
  <si>
    <t>% of people who completed reviews – 81% of total employees or 96% excluding employees on Maternity leave/Chief Executive etc</t>
  </si>
  <si>
    <t>Total Hours Worked by Male Employees</t>
  </si>
  <si>
    <t>Full time Male employees</t>
  </si>
  <si>
    <t>FTE for part time Male employees</t>
  </si>
  <si>
    <t>Total Hours Worked by Female Employees</t>
  </si>
  <si>
    <t>Full time Female employees</t>
  </si>
  <si>
    <t>FTE for part time Female emplyoyees</t>
  </si>
  <si>
    <t>Gross Hourly Pay for Male Employees</t>
  </si>
  <si>
    <t>Gross Annual Pay</t>
  </si>
  <si>
    <t>Gross Hourly Pay</t>
  </si>
  <si>
    <t>Gross Hourly Pay for Female Employees</t>
  </si>
  <si>
    <t>Mean Pay Gap</t>
  </si>
  <si>
    <t xml:space="preserve">Average Male Hourly rate </t>
  </si>
  <si>
    <t>Average Female Hourly Rate</t>
  </si>
  <si>
    <t>Gender Pay Gap</t>
  </si>
  <si>
    <t>EE No</t>
  </si>
  <si>
    <t>Gender</t>
  </si>
  <si>
    <t>Training Hours</t>
  </si>
  <si>
    <t>Study Leave</t>
  </si>
  <si>
    <t>Total Hours</t>
  </si>
  <si>
    <t>HR010</t>
  </si>
  <si>
    <t>HR013</t>
  </si>
  <si>
    <t>HR014</t>
  </si>
  <si>
    <t>HR024</t>
  </si>
  <si>
    <t>HR025</t>
  </si>
  <si>
    <t>HR028</t>
  </si>
  <si>
    <t>HR031</t>
  </si>
  <si>
    <t>HR032</t>
  </si>
  <si>
    <t>HR038</t>
  </si>
  <si>
    <t>HR039</t>
  </si>
  <si>
    <t>HR043</t>
  </si>
  <si>
    <t>HR046</t>
  </si>
  <si>
    <t>HR047</t>
  </si>
  <si>
    <t>HR048</t>
  </si>
  <si>
    <t>HR050</t>
  </si>
  <si>
    <t>HR053</t>
  </si>
  <si>
    <t>HR066</t>
  </si>
  <si>
    <t>HR069</t>
  </si>
  <si>
    <t>HR070</t>
  </si>
  <si>
    <t>HR071</t>
  </si>
  <si>
    <t>HR072</t>
  </si>
  <si>
    <t>HR073</t>
  </si>
  <si>
    <t>HR074</t>
  </si>
  <si>
    <t>HR075</t>
  </si>
  <si>
    <t>HR076</t>
  </si>
  <si>
    <t>HR077</t>
  </si>
  <si>
    <t>HR079</t>
  </si>
  <si>
    <t>HR080</t>
  </si>
  <si>
    <t>HR081</t>
  </si>
  <si>
    <t>Total Training Hours</t>
  </si>
  <si>
    <t>Total employee number:</t>
  </si>
  <si>
    <t>Average Total Hours (Training + Study Leave) - All Employees</t>
  </si>
  <si>
    <t>Hours</t>
  </si>
  <si>
    <t>Average Total Hours (Training + Study Leave) - Male Employees</t>
  </si>
  <si>
    <t>Average Total Hours (Training and Study Leave)- Female Employees</t>
  </si>
  <si>
    <t>Health &amp; Safety:</t>
  </si>
  <si>
    <t>Number of Health, Safety, Security and Environment Training Hours Provided (# hours for all employees in aggregate)</t>
  </si>
  <si>
    <t xml:space="preserve"># hours per employee </t>
  </si>
  <si>
    <t xml:space="preserve">ESG training hours </t>
  </si>
  <si>
    <t>CPD Title</t>
  </si>
  <si>
    <t>Column1</t>
  </si>
  <si>
    <t>Date</t>
  </si>
  <si>
    <t xml:space="preserve">Rethinking Light </t>
  </si>
  <si>
    <t>Sustainability CPD</t>
  </si>
  <si>
    <t>Waste Solutions</t>
  </si>
  <si>
    <t>SmartScore CPD</t>
  </si>
  <si>
    <t>Climate Risk amd insurance implications</t>
  </si>
  <si>
    <t>2/26/2025</t>
  </si>
  <si>
    <t>WEF Global Risks Report</t>
  </si>
  <si>
    <t>UDZ CPD</t>
  </si>
  <si>
    <t>Sustainability Supply Chain School Annual COnference</t>
  </si>
  <si>
    <t>AXA Biodiversity Training provided by Brookfield</t>
  </si>
  <si>
    <t>AREF Event - From Commitment to Action: Facing the practical reality of decarbonising buildings</t>
  </si>
  <si>
    <t>IGBC Community of Practice ESG</t>
  </si>
  <si>
    <t>IGBC - Biodiversity CoP</t>
  </si>
  <si>
    <t>Irish Times Sustainability Conference</t>
  </si>
  <si>
    <t>"What on Earth are the SDGs" Training with The Sustainable Life School</t>
  </si>
  <si>
    <t>IGBC - Embodied Ecological Impact Workshop</t>
  </si>
  <si>
    <t>Trinity Executive Education Sustainability Conference</t>
  </si>
  <si>
    <t>IGBC Biodiversity CoP</t>
  </si>
  <si>
    <t>RIAI IGBC SEAI Design for Performance training programme</t>
  </si>
  <si>
    <t>IGBC Build Green Now Conference</t>
  </si>
  <si>
    <t>IGBC/DoCEE -  workshop to help support the transposition of the recast Energy Performance of Buildings Directive (EPBD)</t>
  </si>
  <si>
    <t>ULI C Change Conference</t>
  </si>
  <si>
    <t>Introduction to Biodiversity</t>
  </si>
  <si>
    <t>Introduction to Climate Change &amp; Carbon</t>
  </si>
  <si>
    <t>Webinar - Introduction to Biodiversity</t>
  </si>
  <si>
    <t>Air Quality - Workshop</t>
  </si>
  <si>
    <t>Webinar - An Introduction to Climate Change and Carbon</t>
  </si>
  <si>
    <t>Focus Forward: a Leesman Data Briefing</t>
  </si>
  <si>
    <t>Total ESG Hours</t>
  </si>
  <si>
    <t>Average ESG Hours by employee</t>
  </si>
  <si>
    <t> </t>
  </si>
  <si>
    <t>Start Date</t>
  </si>
  <si>
    <t>Detail</t>
  </si>
  <si>
    <t>Training Organisation</t>
  </si>
  <si>
    <t>CPD Session</t>
  </si>
  <si>
    <t xml:space="preserve">ESG related </t>
  </si>
  <si>
    <t>Brookfield</t>
  </si>
  <si>
    <t>ABC</t>
  </si>
  <si>
    <t>Yes</t>
  </si>
  <si>
    <t xml:space="preserve">ABC </t>
  </si>
  <si>
    <t>average hours per employee</t>
  </si>
  <si>
    <t>(Internal CPD)</t>
  </si>
  <si>
    <t>15/10/2025 Cybersecurity CPD</t>
  </si>
  <si>
    <t>3.9 List and describe sustainability criteria used within supplier screening (Note: This percentage may not be applicable to all businesses, especially those that engage largely in professional services.)</t>
  </si>
  <si>
    <t>Supplier due diligence as requested by Brookfield includes for ABC screening criteria and all new suppliers now must meet these requirements. 
Main contractors (construction related and for property management (e.g. waste management and facilities management), when being tendered for include more detailed ESG criteria around sharing data and meeting regularly to discuss sustainability related opportunities. 
Details of calculation:
No of Active Suppliers: 529. See note 1 below.
Due Diligence Completed: 235. See note 2 below.
% of Suppliers with Due Diligence Completed: 44%
Notes:
The number of suppliers only includes “active” suppliers. Hibernia have circa 1100 suppliers listed on Accounts IQ with circa 550 now classified as inactive. During 2024, Hibernia completed an exercise to mark suppliers inactive if there had been no activity with this supplier over the last 3 years. It is therefore highly unlikely that ABC reviews were completed on any inactive supplier given that this time period was pre-Brookfield.
Due Diligence Completed includes:
Suppliers where DD has been completed.
Suppliers that were considered and then exempted from the DD process.</t>
  </si>
  <si>
    <t xml:space="preserve">supplier due diligence: </t>
  </si>
  <si>
    <t>Position</t>
  </si>
  <si>
    <t>Employee Number</t>
  </si>
  <si>
    <t>Hired/Left 2024</t>
  </si>
  <si>
    <t>Pay (Average per gender for normal staff)</t>
  </si>
  <si>
    <t>CPD Days</t>
  </si>
  <si>
    <t>CPD Hours</t>
  </si>
  <si>
    <t>Number of Health, Safety, Security and Environment Training Hours Provided</t>
  </si>
  <si>
    <t>ABC Training Hours</t>
  </si>
  <si>
    <t>Cybersecurity Training Hours</t>
  </si>
  <si>
    <t>Total CPD Hours</t>
  </si>
  <si>
    <t>Absenteeism</t>
  </si>
  <si>
    <t>Age</t>
  </si>
  <si>
    <t>Gender Diversity</t>
  </si>
  <si>
    <t>Gender Pay</t>
  </si>
  <si>
    <t>Training</t>
  </si>
  <si>
    <t xml:space="preserve">Number of Health, Safety, Security and Environment Training Hours Provided </t>
  </si>
  <si>
    <t>CyberSecurity Training Hours</t>
  </si>
  <si>
    <t>Employee Engagement</t>
  </si>
  <si>
    <t>New Hires</t>
  </si>
  <si>
    <t xml:space="preserve">Turnover </t>
  </si>
  <si>
    <t>Voluntary Turnover</t>
  </si>
  <si>
    <t>Involuntary Turnover</t>
  </si>
  <si>
    <t>Absentee Rate</t>
  </si>
  <si>
    <t>Employee engagement survey</t>
  </si>
  <si>
    <t>€s</t>
  </si>
  <si>
    <t>days</t>
  </si>
  <si>
    <t>total hours</t>
  </si>
  <si>
    <t>Performance Appraisal Carried out</t>
  </si>
  <si>
    <t>Days</t>
  </si>
  <si>
    <t>No. of employees</t>
  </si>
  <si>
    <t>% of employees</t>
  </si>
  <si>
    <t>Ratio of male to female pay</t>
  </si>
  <si>
    <t>Average hours</t>
  </si>
  <si>
    <t>(# hours for all employees)</t>
  </si>
  <si>
    <t>% of total workforce</t>
  </si>
  <si>
    <t>No. Male</t>
  </si>
  <si>
    <t>No. Female</t>
  </si>
  <si>
    <t>Rate</t>
  </si>
  <si>
    <t>No.</t>
  </si>
  <si>
    <t>% Absent Days/Based on 260 Working Days per year</t>
  </si>
  <si>
    <t>% employees responded</t>
  </si>
  <si>
    <t>Executive Director</t>
  </si>
  <si>
    <t>NA</t>
  </si>
  <si>
    <t>HR006</t>
  </si>
  <si>
    <t>Hired</t>
  </si>
  <si>
    <t>HR012</t>
  </si>
  <si>
    <t>Notes</t>
  </si>
  <si>
    <t>All staff</t>
  </si>
  <si>
    <t>Senior management</t>
  </si>
  <si>
    <t>Executive</t>
  </si>
  <si>
    <t>HR015</t>
  </si>
  <si>
    <t>HR023</t>
  </si>
  <si>
    <t>Maternity Leave</t>
  </si>
  <si>
    <t>Gender count Exec</t>
  </si>
  <si>
    <t>male</t>
  </si>
  <si>
    <t>female</t>
  </si>
  <si>
    <t>total</t>
  </si>
  <si>
    <t>No. staff (minus those hired during year)</t>
  </si>
  <si>
    <t>HR051</t>
  </si>
  <si>
    <t>HR058</t>
  </si>
  <si>
    <t>HR068</t>
  </si>
  <si>
    <t>HR007</t>
  </si>
  <si>
    <t>Retired</t>
  </si>
  <si>
    <t>HR019</t>
  </si>
  <si>
    <t>HR018</t>
  </si>
  <si>
    <t>Left</t>
  </si>
  <si>
    <t>HR052</t>
  </si>
  <si>
    <t>HR064</t>
  </si>
  <si>
    <t>HR065</t>
  </si>
  <si>
    <t xml:space="preserve">Training % for GRESB </t>
  </si>
  <si>
    <t xml:space="preserve">No. of employees </t>
  </si>
  <si>
    <t xml:space="preserve">No. with training hours in 2024 </t>
  </si>
  <si>
    <t xml:space="preserve">No. without training hours in 2024 </t>
  </si>
  <si>
    <t>Eecutive Staff</t>
  </si>
  <si>
    <t>Senior Management</t>
  </si>
  <si>
    <t>Non Executive Directors</t>
  </si>
  <si>
    <t>Totals</t>
  </si>
  <si>
    <t>Managed Office Assets</t>
  </si>
  <si>
    <t>Audit complete 2024</t>
  </si>
  <si>
    <t>Managed Residential Assets</t>
  </si>
  <si>
    <t>Audit complete 2023</t>
  </si>
  <si>
    <t>1 Cumberland Place</t>
  </si>
  <si>
    <t>Wyckham Point</t>
  </si>
  <si>
    <t>2 Cumberland place</t>
  </si>
  <si>
    <t>Dundrum View</t>
  </si>
  <si>
    <t>1WML</t>
  </si>
  <si>
    <t>2WML</t>
  </si>
  <si>
    <t>Observatory</t>
  </si>
  <si>
    <t>Central Quay</t>
  </si>
  <si>
    <t>Hardwicke House</t>
  </si>
  <si>
    <t>Montague House</t>
  </si>
  <si>
    <t>50 City Quay</t>
  </si>
  <si>
    <t>ESG 2025 Databook</t>
  </si>
  <si>
    <t>Contents</t>
  </si>
  <si>
    <t>Summary</t>
  </si>
  <si>
    <t>Basis of reporting</t>
  </si>
  <si>
    <t>Emissions</t>
  </si>
  <si>
    <t>Building certifications</t>
  </si>
  <si>
    <t>TCFD metrics</t>
  </si>
  <si>
    <t xml:space="preserve">Social and Governance </t>
  </si>
  <si>
    <t>The following is a summary of our environmental, social and governance performance for the calendar year ended 31 December 2025, followed by the basis of reporting overview (page 2) and the performance metrics (sheets 3 to 9).</t>
  </si>
  <si>
    <t>Further information can be found on the ESG Reporting and Performance section of our website, and in our ESG Newsletters, at the below link.</t>
  </si>
  <si>
    <t>www.hiberniareg.com/esg/esg-reporting</t>
  </si>
  <si>
    <t>Narrative on performance – environmental data</t>
  </si>
  <si>
    <r>
      <rPr>
        <b/>
        <u/>
        <sz val="11"/>
        <color rgb="FF000000"/>
        <rFont val="Calibri"/>
      </rPr>
      <t xml:space="preserve">Energy
</t>
    </r>
    <r>
      <rPr>
        <sz val="11"/>
        <color rgb="FF000000"/>
        <rFont val="Calibri"/>
      </rPr>
      <t xml:space="preserve">
Between 2024 and 2025, Landlord electricity consumption increased across our managed office portfolio by 14% on an absolute basis. Landlord and Occupier combined electricity consumption decreased by 6% on an absolute basis and decreased by 11% on a like-for-like basis over the same period.
Other fuels consumption decreased by 56% on an absolute basis and 57% on a like-for-like basis between 2024 and 2025.
The increase in landlord electricity and decrease in fuel consumption is inversely linked due to electrification of The Observatory office asset 
In 2025 we generated 17.7 mWh of renewable solar electricity through on-site generation at 1 Windmill Lane, The Observatory and Central Quay (before the asset was sold on 31 March 2025). 
Overall, there has been a 15% decrease in whole building energy intensity of our managed office portfolio between 2024 and 2025. 
In our residential portfolio, total energy consumption dereased by 20% due to the availability of actual data versus estimated data in previous years.
</t>
    </r>
  </si>
  <si>
    <r>
      <rPr>
        <b/>
        <sz val="11"/>
        <color rgb="FF000000"/>
        <rFont val="Calibri"/>
      </rPr>
      <t xml:space="preserve">Greenhouse Gas Emissions
</t>
    </r>
    <r>
      <rPr>
        <sz val="11"/>
        <color rgb="FF000000"/>
        <rFont val="Calibri"/>
      </rPr>
      <t xml:space="preserve">
We saw a decrease in our combined absolute Scope 1 and 2 GHG emissions of 15% across our managed office portfolio in 2025. 
</t>
    </r>
    <r>
      <rPr>
        <sz val="11"/>
        <color rgb="FFFF0000"/>
        <rFont val="Calibri"/>
      </rPr>
      <t xml:space="preserve">
</t>
    </r>
    <r>
      <rPr>
        <sz val="11"/>
        <color rgb="FF000000"/>
        <rFont val="Calibri"/>
      </rPr>
      <t xml:space="preserve">Scope 1 GHG emissions were down by 33% year-on-year and Scope 2 Location-based GHG emissions were down 15% year-on-year. 
As with the decrease in energy consumption, these reductions were heavily influenced by further optimisation of heating and cooling systems in our buildings as well as an improvement in grid renewable energy provision. 
Scope 2 market based emissions were 0 in 2024. Hibernia procure 100% Irish wind renewable electricity generation, certified by Captured Carbon, for all Landlord electricity. 
</t>
    </r>
    <r>
      <rPr>
        <sz val="11"/>
        <color rgb="FFFF0000"/>
        <rFont val="Calibri"/>
      </rPr>
      <t xml:space="preserve">
</t>
    </r>
    <r>
      <rPr>
        <sz val="11"/>
        <color rgb="FF000000"/>
        <rFont val="Calibri"/>
      </rPr>
      <t xml:space="preserve">Scope 3 - Category 1 corporate emissions decreased by 8% and the Category 1 property mangement emissions decreased by 15%.
</t>
    </r>
    <r>
      <rPr>
        <sz val="11"/>
        <color rgb="FFFF0000"/>
        <rFont val="Calibri"/>
      </rPr>
      <t xml:space="preserve">
</t>
    </r>
    <r>
      <rPr>
        <sz val="11"/>
        <color rgb="FF000000"/>
        <rFont val="Calibri"/>
      </rPr>
      <t>Scope 3 - Category 2 emissions increased 53% as a result of ongoing construction activities on Harcourt Square, and our refurbishment work on The Observatory. The associated emissions for each of these projects was calculated using the whole life carbon methodology.
Scope 3 - Category 13 emissions decreased by 16% due to reduced occupier electcrity and gas consumption, occupancy chnages and the sale of Central Quay in March 2025.</t>
    </r>
  </si>
  <si>
    <r>
      <rPr>
        <b/>
        <u/>
        <sz val="11"/>
        <color rgb="FF000000"/>
        <rFont val="Calibri"/>
      </rPr>
      <t xml:space="preserve">Water
</t>
    </r>
    <r>
      <rPr>
        <sz val="11"/>
        <color rgb="FF000000"/>
        <rFont val="Calibri"/>
      </rPr>
      <t xml:space="preserve">
Like-for-like water consumption across our office portfolio increased by 20%. Most of this can be attributed to the increase in occupancy in the buildings in 2025 and 2024 and more accurate measurement of water data in certain buildings where previously only estimated bills were being received.
No landlord metered water is consumed across our residential portfolio so these performance measures are not reported.</t>
    </r>
  </si>
  <si>
    <r>
      <rPr>
        <b/>
        <u/>
        <sz val="11"/>
        <color rgb="FF000000"/>
        <rFont val="Calibri"/>
      </rPr>
      <t xml:space="preserve">Waste
</t>
    </r>
    <r>
      <rPr>
        <sz val="11"/>
        <color rgb="FF000000"/>
        <rFont val="Calibri"/>
      </rPr>
      <t xml:space="preserve">
The total weight of waste generated by our managed office portfolio decreased by 9% % on an absolute and like-for-like basis in 2025. 65% of waste was either recycled or composted, an increase from 64% in 2024. The remainder of the waste was recovered as electricity through incineration. 
No waste was sent to landfill in 2025. 
</t>
    </r>
  </si>
  <si>
    <r>
      <rPr>
        <b/>
        <u/>
        <sz val="11"/>
        <color rgb="FF000000"/>
        <rFont val="Calibri"/>
      </rPr>
      <t xml:space="preserve">Certificates
</t>
    </r>
    <r>
      <rPr>
        <sz val="11"/>
        <color rgb="FF000000"/>
        <rFont val="Calibri"/>
      </rPr>
      <t xml:space="preserve">
100% of assets are BER accredited. 
Three assets are LEED C&amp;S Platinum certified (1 Cumberland Place, 2 Cumberland Place and 1SJRQ) and two buildings are LEED C&amp;S Gold certified (1 Windmill Lane and 2 Windmill Lane. 
Two assets are LEED O+M Gold certified (1 Cumberland Place and 1Windmill Lane).
Our pipeline project One Clanwilliam is registered for LEED C&amp;S V5 Platinum and WELL Platinum certifications.
Our on-site project, Harcourt Square is registered for LEED Platinum and WELL Platinum certifications. 
Three standing assets, The Observatory, 2 Windmill Lane and 2 Cumberland Place, are registered for LEED O+M V5 certification.</t>
    </r>
  </si>
  <si>
    <t>Narrative on performance – social and governance data</t>
  </si>
  <si>
    <r>
      <rPr>
        <b/>
        <u/>
        <sz val="11"/>
        <color rgb="FF000000"/>
        <rFont val="Calibri"/>
      </rPr>
      <t xml:space="preserve">Employee diversity and turnover
</t>
    </r>
    <r>
      <rPr>
        <sz val="11"/>
        <color rgb="FFFF0000"/>
        <rFont val="Calibri"/>
      </rPr>
      <t xml:space="preserve"> 
</t>
    </r>
    <r>
      <rPr>
        <sz val="11"/>
        <color rgb="FF000000"/>
        <rFont val="Calibri"/>
      </rPr>
      <t xml:space="preserve">In 2025 there were 4 new hires with a 1:1 female to male ratio and a turnover of 5 people with a 1:4 female to male ratio. As a result, this increased the overall % of female employees to 39% in 2025 an increase from 34% in 2024. 
</t>
    </r>
    <r>
      <rPr>
        <sz val="11"/>
        <color rgb="FFFF0000"/>
        <rFont val="Calibri"/>
      </rPr>
      <t xml:space="preserve">
</t>
    </r>
    <r>
      <rPr>
        <sz val="11"/>
        <color rgb="FF000000"/>
        <rFont val="Calibri"/>
      </rPr>
      <t xml:space="preserve">The proportion of female to male employees at all senior levels was 33% in 2025, up from 25% in 2024. 
</t>
    </r>
    <r>
      <rPr>
        <sz val="11"/>
        <color rgb="FFFF0000"/>
        <rFont val="Calibri"/>
      </rPr>
      <t xml:space="preserve">
</t>
    </r>
    <r>
      <rPr>
        <sz val="11"/>
        <color rgb="FF000000"/>
        <rFont val="Calibri"/>
      </rPr>
      <t>Our Remuneration Policy ensures that all employees are fairly and competitively rewarded based on their performance against personal and Group objectives, and in line with the marketplace. The Group’s gender pay ratio of 152% is explained by seniority and individual performance only.</t>
    </r>
  </si>
  <si>
    <r>
      <rPr>
        <b/>
        <u/>
        <sz val="11"/>
        <color rgb="FF000000"/>
        <rFont val="Calibri"/>
      </rPr>
      <t xml:space="preserve">Employee training and development
</t>
    </r>
    <r>
      <rPr>
        <sz val="11"/>
        <color rgb="FF000000"/>
        <rFont val="Calibri"/>
      </rPr>
      <t xml:space="preserve">
Developing our employees is included as part of Transforming Dublin Responsibly. During 2025, employees received on average 30 hours of training, up from 23 hours in 2024. Topics covered mental health, real estate markets, IT skills, cyber security, anti-bribery and corruption, stranding assets, health and safety and waste management. Furthermore, 81% of employees received a regular career development and performance review as part of our Remuneration Policy (new starters who joined during 2025 did not receive a review in the reporting year). </t>
    </r>
  </si>
  <si>
    <r>
      <rPr>
        <b/>
        <u/>
        <sz val="11"/>
        <color rgb="FF000000"/>
        <rFont val="Calibri"/>
      </rPr>
      <t xml:space="preserve">Health and safety 
</t>
    </r>
    <r>
      <rPr>
        <sz val="11"/>
        <color rgb="FF000000"/>
        <rFont val="Calibri"/>
      </rPr>
      <t xml:space="preserve">
During the year we recorded no reportable injuries, meaning our injury rate and lost day rate were both zero. We do not currently collate information on days absence due to illness and non-reportable injuries. 
We maintained our certification to the ISO 45001 Occupational Health and Safety Management System standard and re-certified all managed offices to the WELL Health Safety Rating.
Hibernia conducts an annual assessment of its assets and has implemented a formal Health and Safety Policy to protect building users. Health and safety impact assessments were conducted at each of our managed buildings by an external consultant in 2025 as part of the ISO 45001 certification process. Assessments by health and safety inspectors are generally conducted following a reportable incident. No such incidents were reported in 2025.</t>
    </r>
  </si>
  <si>
    <r>
      <rPr>
        <b/>
        <sz val="11"/>
        <color rgb="FF000000"/>
        <rFont val="Calibri"/>
      </rPr>
      <t xml:space="preserve">Occupier engagement 
</t>
    </r>
    <r>
      <rPr>
        <sz val="11"/>
        <color rgb="FF000000"/>
        <rFont val="Calibri"/>
      </rPr>
      <t xml:space="preserve">
We are committed to surveying our occupiers annually on their satisfaction of our building management services and sustainability activities. In 2025 we carried out the survey internally, led by our property management and operations teams.
The Net Promoter Score - an indication of how likely our occupiers are to recommend Hibernia to another company - was 86 in 2025, down from 88 in 2024. We will compare the score on an annual basis.
</t>
    </r>
  </si>
  <si>
    <r>
      <rPr>
        <b/>
        <u/>
        <sz val="11"/>
        <color rgb="FF000000"/>
        <rFont val="Calibri"/>
      </rPr>
      <t xml:space="preserve">Community engagement </t>
    </r>
    <r>
      <rPr>
        <sz val="11"/>
        <color rgb="FF000000"/>
        <rFont val="Calibri"/>
      </rPr>
      <t>. 
Our Social Impact Plan (</t>
    </r>
    <r>
      <rPr>
        <i/>
        <sz val="11"/>
        <color rgb="FF000000"/>
        <rFont val="Calibri"/>
      </rPr>
      <t>previously Community Engagement Charter</t>
    </r>
    <r>
      <rPr>
        <sz val="11"/>
        <color rgb="FF000000"/>
        <rFont val="Calibri"/>
      </rPr>
      <t xml:space="preserve">) sets out our commitment to create positive social impact in our buildings and within the wider community in which we operate. Our community and charity partnerships are in place at a corporate level and include engagement with local schools, community groups and charities. The programmes are governed by our community commitee which has members from our operations, property mangement and sustainability teams.
</t>
    </r>
  </si>
  <si>
    <r>
      <rPr>
        <b/>
        <u/>
        <sz val="11"/>
        <color rgb="FF000000"/>
        <rFont val="Calibri"/>
        <family val="2"/>
        <scheme val="minor"/>
      </rPr>
      <t xml:space="preserve">Governance
</t>
    </r>
    <r>
      <rPr>
        <sz val="11"/>
        <color rgb="FF000000"/>
        <rFont val="Calibri"/>
        <family val="2"/>
        <scheme val="minor"/>
      </rPr>
      <t xml:space="preserve">
For more information, please see the Governance section of our website. </t>
    </r>
  </si>
  <si>
    <t>www.hiberniareg.com/esg/governance</t>
  </si>
  <si>
    <r>
      <rPr>
        <b/>
        <sz val="16"/>
        <color rgb="FF000000"/>
        <rFont val="Calibri"/>
        <scheme val="minor"/>
      </rPr>
      <t>Asset list -</t>
    </r>
    <r>
      <rPr>
        <b/>
        <i/>
        <sz val="16"/>
        <color rgb="FF000000"/>
        <rFont val="Calibri"/>
        <scheme val="minor"/>
      </rPr>
      <t xml:space="preserve"> type &amp; data specification </t>
    </r>
  </si>
  <si>
    <t>Asset type</t>
  </si>
  <si>
    <t xml:space="preserve">Included in 2025 "like-for-like" comparsions </t>
  </si>
  <si>
    <t>Included in 2025 "absolute" comparisons</t>
  </si>
  <si>
    <t xml:space="preserve">Managed office assets </t>
  </si>
  <si>
    <t xml:space="preserve">Energy </t>
  </si>
  <si>
    <t xml:space="preserve">Waste </t>
  </si>
  <si>
    <t xml:space="preserve">Water </t>
  </si>
  <si>
    <t>1 Windmill Lane</t>
  </si>
  <si>
    <t>Scope 1, Scope 2, Scope 3 Cat 13</t>
  </si>
  <si>
    <t>2 Windmill Lane</t>
  </si>
  <si>
    <t>The Observatory</t>
  </si>
  <si>
    <t xml:space="preserve">50 City Quay </t>
  </si>
  <si>
    <t>2 Cumberland Place</t>
  </si>
  <si>
    <t xml:space="preserve">Montague House </t>
  </si>
  <si>
    <t>Central Quay*</t>
  </si>
  <si>
    <t>No</t>
  </si>
  <si>
    <t xml:space="preserve">Managed residential assets </t>
  </si>
  <si>
    <t xml:space="preserve">Hannover Mills </t>
  </si>
  <si>
    <t xml:space="preserve"> Scope 2, Scope 3 Cat 13</t>
  </si>
  <si>
    <t xml:space="preserve">Dundrum View </t>
  </si>
  <si>
    <t>Scope 2, Scope 3 Cat 13</t>
  </si>
  <si>
    <t xml:space="preserve">Non-managed assets </t>
  </si>
  <si>
    <t xml:space="preserve">1 Sir John Rogersons Quay </t>
  </si>
  <si>
    <t>Scope 3 Cat 13</t>
  </si>
  <si>
    <t>South Dock House</t>
  </si>
  <si>
    <t>One Earlsfort Terrace</t>
  </si>
  <si>
    <t>Portview House</t>
  </si>
  <si>
    <t>Cannon Place</t>
  </si>
  <si>
    <t>Gateway</t>
  </si>
  <si>
    <t>35-37 Camden Street</t>
  </si>
  <si>
    <t>Introduction</t>
  </si>
  <si>
    <t xml:space="preserve">Hibernia is committed to transparent reporting on its non-financial ESG data 
The following is a summary of data collection methodology that form the basis of our KPI reporting prepared for our annual ESG reporting and assurance, GRESB disclosures, and our ESG performance management internally.  </t>
  </si>
  <si>
    <t>Reporting period</t>
  </si>
  <si>
    <t>We provide two years of performance data covering the 2024 and 2025 calendar years for all performance metrics.</t>
  </si>
  <si>
    <t>Materiality</t>
  </si>
  <si>
    <t>We report on all ESG performance measures that we are responsible for across our portfolio and include coverage on social and governance measures. We carried out our latest double materiality assessment with key stakeholders in 2024/2025 to further define our materiality issues. See below link for more information on our materiality issues and process.</t>
  </si>
  <si>
    <t>https://www.hiberniareg.com/transform-1</t>
  </si>
  <si>
    <t>Third-party verification</t>
  </si>
  <si>
    <t xml:space="preserve">JLL EMEA Sustainability Consulting has assured this data in line with the ISAE 3000 standard. JLL’s assurance statement can be found at the below link. </t>
  </si>
  <si>
    <t xml:space="preserve">www.hiberniareg.com/esg/esg-reporting </t>
  </si>
  <si>
    <t>Organisational boundaries</t>
  </si>
  <si>
    <t xml:space="preserve">We use the operational control approach for our energy, water and waste data boundary for our office and residential assets.
We also report on our occupier emissions in managed and non-managed assets under scope 3 Category 13. 
</t>
  </si>
  <si>
    <t>Coverage</t>
  </si>
  <si>
    <r>
      <rPr>
        <sz val="11"/>
        <color rgb="FF000000"/>
        <rFont val="Calibri"/>
      </rPr>
      <t xml:space="preserve">We report on all properties within the organisational boundary defined above and for which we are responsible for utilities consumption (managed assets &amp; residential assets) and under scope 3 Cat.13 for non-managed assets (see Boundaries – reporting on landlord and occupier consumption, below).
In 2025, our portfolio consisted of the following asset breakdown:  9 office assets (managed), 3 residential assets, 7 assets (non-managed) </t>
    </r>
    <r>
      <rPr>
        <i/>
        <sz val="11"/>
        <color rgb="FF000000"/>
        <rFont val="Calibri"/>
      </rPr>
      <t xml:space="preserve">(note Portview includes office &amp; residential)
</t>
    </r>
    <r>
      <rPr>
        <sz val="11"/>
        <color rgb="FF000000"/>
        <rFont val="Calibri"/>
      </rPr>
      <t xml:space="preserve">
Data for our own office covers Hibernia’s headquarters at 1 Windmill Lane.
GHG Emissions data is provided for the entire portfolio. </t>
    </r>
  </si>
  <si>
    <t>Like for Like</t>
  </si>
  <si>
    <t xml:space="preserve">We report data for certain metrics on a like for like basis i.e. data for assets owned and operated in both the current and previous reporting years.  </t>
  </si>
  <si>
    <t>Estimation of landlord-obtained utility consumption</t>
  </si>
  <si>
    <t xml:space="preserve">All energy consumption data is based on real-time meter readings and invoices where applicable. Our basis of reporting document sets out our data hierarchy. No electricity or gas consumption data for landlord-obtained utility consumption was estimated in 2025. 
Water consumption is based on real-time meter readings and invoices. ~6% of water usage for landlord-obtained utility consumption was estimated in 2025.
Waste data is provided by waste contractor Panda for our managed office buildings and for our residential buildings. For non-managed assets waste consumption data is provided by occupiers.  ~2% of waste consumption was estimated in 2025 for assets with missing months, no estimations carried out for assets with no waste data. </t>
  </si>
  <si>
    <t>Estimation of occupier-obtained utility consumption</t>
  </si>
  <si>
    <t xml:space="preserve">All occupier energy consumption data is based on real-time meter readings and invoices where applicable. 
~33% of occupier gas consumption in residential and non-managed assets was estimated in 2025.
~6% of occupier electricity consumption was estimated in 2025. </t>
  </si>
  <si>
    <t>Boundaries – reporting on landlord and occupier consumption</t>
  </si>
  <si>
    <t>The consumption reported includes utilities (energy and water) that we purchase as landlord. Occupier electricity use data only is included. 
There is no landlord-obtained water or gas data for our residential portfolio as consumption is the responsibility of individual occupiers. 
Waste data covers occupier and landlord waste as we are responsible for waste contracts.</t>
  </si>
  <si>
    <t>Analysis – normalisation</t>
  </si>
  <si>
    <r>
      <rPr>
        <sz val="11"/>
        <color rgb="FF000000"/>
        <rFont val="Calibri"/>
        <family val="2"/>
        <scheme val="minor"/>
      </rPr>
      <t>Intensity indicators for our managed office portfolio are calculated using floor area (m</t>
    </r>
    <r>
      <rPr>
        <vertAlign val="superscript"/>
        <sz val="11"/>
        <color rgb="FF000000"/>
        <rFont val="Calibri"/>
        <family val="2"/>
        <scheme val="minor"/>
      </rPr>
      <t>2</t>
    </r>
    <r>
      <rPr>
        <sz val="11"/>
        <color rgb="FF000000"/>
        <rFont val="Calibri"/>
        <family val="2"/>
        <scheme val="minor"/>
      </rPr>
      <t>) for whole buildings (excluding basements). 
Intensity indicators for our residential portfolio are calculated using the number of apartments as we do not have floor area (m</t>
    </r>
    <r>
      <rPr>
        <vertAlign val="superscript"/>
        <sz val="11"/>
        <color rgb="FF000000"/>
        <rFont val="Calibri"/>
        <family val="2"/>
        <scheme val="minor"/>
      </rPr>
      <t>2</t>
    </r>
    <r>
      <rPr>
        <sz val="11"/>
        <color rgb="FF000000"/>
        <rFont val="Calibri"/>
        <family val="2"/>
        <scheme val="minor"/>
      </rPr>
      <t>) for the landlord spaces. 
For our own offices, we report intensity performance measures using the floor area we occupy within the building.</t>
    </r>
  </si>
  <si>
    <t>Analysis – by property type and geography</t>
  </si>
  <si>
    <r>
      <t>Our office portfolio accounts for 80% of our total portfolio by value, all of which is located in Dublin city centre.
Our residential portfolio accounts for 17% of our total portfolio by value, all of which is located in Dublin city centre &amp; South Dublin.</t>
    </r>
    <r>
      <rPr>
        <sz val="11"/>
        <color rgb="FF000000"/>
        <rFont val="Calibri"/>
      </rPr>
      <t xml:space="preserve">
The rest of the portfolio, consisting of industrial units and land held for development, is excluded as it is not directly managed and is not considered material in relation to our other asset types.</t>
    </r>
  </si>
  <si>
    <t>Disclosure on own offices</t>
  </si>
  <si>
    <t>Utilities consumption at our own occupied offices is reported separately to our portfolio. Our offices cover part of one floor of a multi-let building (1 Windmill Lane) that we occupy as our headquarters.
Our own office has a designated electricity utility meter. Gas, water and waste usage data is calculated based on percentage of floor area for the whole building for the entire year.</t>
  </si>
  <si>
    <t xml:space="preserve">We report on total energy (electricity and gas) required to operate our managed office portfolio and residential assets at the whole building level (both landlord and occupier spaces) as per GRESB reporting requirements  (includes electrical energy generated from onsite renewables).
- Landlord Elec and Gas - Obtained from a mixture of automated meter readings (AMR) and building management system (BMS) data extracted by CoolPlanet
- Occupier Elec and Gas - Obtained through mixture of AMR and BMS data and via email correspondence from occupier directly (source invoices)
- Onsite renewables - Data from solar PV panels obtained from either BMS or from solar dashboard.
- Estimations only applied to fill gaps in data (missing hours, days or weeks) - not where an entire year of data is missing.
For managed residential assets we report on electricity usage for Landlord areas, with the exception of Dundrum View and Wyckham Place where we received bi-annual meter readings for occupier areas 
</t>
  </si>
  <si>
    <t>Energy use intensity</t>
  </si>
  <si>
    <r>
      <t>Energy use intensity per m</t>
    </r>
    <r>
      <rPr>
        <vertAlign val="superscript"/>
        <sz val="11"/>
        <color theme="1"/>
        <rFont val="Calibri"/>
        <family val="2"/>
        <scheme val="minor"/>
      </rPr>
      <t xml:space="preserve">2 </t>
    </r>
    <r>
      <rPr>
        <sz val="11"/>
        <color theme="1"/>
        <rFont val="Calibri"/>
        <family val="2"/>
        <scheme val="minor"/>
      </rPr>
      <t xml:space="preserve">GIA (Gross Internal Area) for managed offices is calculated at Landlord level and whole building level as total energy divided by total floor area of managed assets. </t>
    </r>
  </si>
  <si>
    <t>Net zero carbon energy use intensity target</t>
  </si>
  <si>
    <t xml:space="preserve">Energy use intensity versus 2030 target of 153 kWh/m2 for managed offices is calculated as a percentage improvement versus target year. </t>
  </si>
  <si>
    <t>Net zero carbon energy use intensity baseline</t>
  </si>
  <si>
    <t>Energy use intensity versus 2019 baseline of 217 kWhe/m2/yr for managed offices is calculated as a percentage improvement versus baseline year.</t>
  </si>
  <si>
    <t xml:space="preserve">Total water consumed in operating our managed office portfolio, residential assets and non-managed assets at whole building level (both landlord and occupier spaces) as per GRESB reporting requirements. Data obtained from a mixture of invoices, AMR and BMS data extracted by CoolPlanet.
</t>
  </si>
  <si>
    <t xml:space="preserve">Total waste generated in operating our managed office portfolio, residential assets and non-managed assets at whole building level (both landlord and occupier spaces) as per GRESB reporting requirements.
All managed standing office, residential assets and non-managed assets owned and operated in the reporting year. </t>
  </si>
  <si>
    <t>Scope 1 GHG emissions</t>
  </si>
  <si>
    <r>
      <t>GHG emissions (Scope 1) emitted in operating our managed office and residential portfolio at whole building level (landlord and head office only) as per GRESB reporting requirements.
Conversion of fuel data using the relevant conversion factors - gas - IEA (2025), World Energy Balance ; IEA (2025) GHG Emissions from Energy. Year 2023 (CO</t>
    </r>
    <r>
      <rPr>
        <vertAlign val="subscript"/>
        <sz val="11"/>
        <color rgb="FF000000"/>
        <rFont val="Calibri"/>
      </rPr>
      <t>2</t>
    </r>
    <r>
      <rPr>
        <sz val="11"/>
        <color rgb="FF000000"/>
        <rFont val="Calibri"/>
      </rPr>
      <t>, N</t>
    </r>
    <r>
      <rPr>
        <vertAlign val="subscript"/>
        <sz val="11"/>
        <color rgb="FF000000"/>
        <rFont val="Calibri"/>
      </rPr>
      <t>2</t>
    </r>
    <r>
      <rPr>
        <sz val="11"/>
        <color rgb="FF000000"/>
        <rFont val="Calibri"/>
      </rPr>
      <t>Oand CH</t>
    </r>
    <r>
      <rPr>
        <vertAlign val="subscript"/>
        <sz val="11"/>
        <color rgb="FF000000"/>
        <rFont val="Calibri"/>
      </rPr>
      <t>4</t>
    </r>
    <r>
      <rPr>
        <sz val="11"/>
        <color rgb="FF000000"/>
        <rFont val="Calibri"/>
      </rPr>
      <t xml:space="preserve">).
Emissions are reported as tonnes CO2e (CO2 equivalent- including all GHG) </t>
    </r>
  </si>
  <si>
    <t>Scope 2 GHG emissions</t>
  </si>
  <si>
    <r>
      <t>GHG emissions (Scope 2) emitted in operating our managed office and residential portfolio at whole building level (both landlord and head office only) as per GRESB reporting requirements.
Conversion of electricity data using the relevant conversion factors - electricity - IEA (2025), World Energy Balance ; IEA (2025) GHG Emissions from Energy. Year 2023 (CO</t>
    </r>
    <r>
      <rPr>
        <vertAlign val="subscript"/>
        <sz val="11"/>
        <color rgb="FF000000"/>
        <rFont val="Calibri"/>
      </rPr>
      <t>2</t>
    </r>
    <r>
      <rPr>
        <sz val="11"/>
        <color rgb="FF000000"/>
        <rFont val="Calibri"/>
      </rPr>
      <t>, N</t>
    </r>
    <r>
      <rPr>
        <vertAlign val="subscript"/>
        <sz val="11"/>
        <color rgb="FF000000"/>
        <rFont val="Calibri"/>
      </rPr>
      <t>2</t>
    </r>
    <r>
      <rPr>
        <sz val="11"/>
        <color rgb="FF000000"/>
        <rFont val="Calibri"/>
      </rPr>
      <t>O and CH</t>
    </r>
    <r>
      <rPr>
        <vertAlign val="subscript"/>
        <sz val="11"/>
        <color rgb="FF000000"/>
        <rFont val="Calibri"/>
      </rPr>
      <t>4</t>
    </r>
    <r>
      <rPr>
        <sz val="11"/>
        <color rgb="FF000000"/>
        <rFont val="Calibri"/>
      </rPr>
      <t xml:space="preserve">).
Emissions are reported as tonnes CO2e (CO2 equivalent- including all GHG) </t>
    </r>
  </si>
  <si>
    <t>Scope 3 GHG emissions - Cat 1</t>
  </si>
  <si>
    <t xml:space="preserve">Extraction, production, and transportation of goods and services purchased or acquired in the reporting year, not otherwise included in Categories 2-8.
All purchased goods and services costs are accounted for under this category, except for those associated with asset major refurbishments and construction activities, which are accounted for in capital goods.
Spend data is extracted from financial reporting system and assigned to specific spend category, cost is converted from Euro to GBP and converted to emissions using “UK DEFRA EEIO Multipliers, 2022” 
Emissions are reported as tonnes CO2e (CO2 equivalent- including all GHG) </t>
  </si>
  <si>
    <t>Scope 3 GHG emissions - Cat 2</t>
  </si>
  <si>
    <t xml:space="preserve">Extraction, production, and transportation of capital goods and services purchased or acquired in the reporting company in the reporting year.
All emissions from major refurbishments and construction activities are accounted under this category.
During reporting year 2025, there was one asset which was under development to account for - Harcourt Square. A whole life carbon assessment was used to calculate the embodied carbon for the 2025 phase of the construction project. 
There was one asset under major refurbishment to account for - The Observatory. A whole life carbon assessment was used to calculate the embodied carbon associated with the refurbishment works. 
Emissions are reported as tonnes CO2e (CO2 equivalent- including all GHG) </t>
  </si>
  <si>
    <t>Scope 3 GHG emissions - Cat 3</t>
  </si>
  <si>
    <t xml:space="preserve">Extraction, production, and transportation of fuels and energy purchased or acquired in the reporting year, not already accounted for in scope 1 and scope 2.
Used Scope 1 and 2 primary data (kWh) to derive the emissions associated with the (1) Energy losses occurred during the generation of electricity, (2) Energy losses occurred during the transportation and distribution of electricity from the generator to the meter, known as T&amp;D losses, (3) Fuel losses occurred during the transportation of the fuel from well to tank, known as WTT losses.
2024 Defra conversion factors were used to calculate the emissions.
Emissions are reported as tonnes CO2e (CO2 equivalent- including all GHG) </t>
  </si>
  <si>
    <t>Scope 3 GHG emissions - Cat 5</t>
  </si>
  <si>
    <t xml:space="preserve">Disposal and treatment of waste generated in the reporting year (in facilities owned or controlled)
Used total waste quantity as primary data (tonnes) to derive the emissions associated with waste generated in operations.
2024 Defra conversion factors were used to calculate the emissions
Emissions are reported as tonnes CO2e (CO2 equivalent- including all GHG) </t>
  </si>
  <si>
    <t>Scope 3 GHG emissions - Cat 6</t>
  </si>
  <si>
    <t>Transportation of employees for business-related activities during the reporting year (in vehicles not owned or operated)
Used business travel distances as primary data (air miles and passenger km) to derive the emissions associated with business travel.
2024 Defra conversion factors were used to calculate the emissions.
Emissions are reported as tonnes CO2e (CO2 equivalent- including all GHG) 
For air travel emissions, the carbon factors used include radiative forcing (RF) as per Defra's recommendation:  “Organisations should include the influence of radiative forcing RF in air travel emissions to capture the maximum climate impact of their travel habits."
For taxi travel emissions, the carbon factor for average taxi was used, while for chauffer services and other travel costs, emission factor for 'other transportation and support activities' was used and identified as the most relevant one
Sources included a record of our expenses and spend with our travel agent.</t>
  </si>
  <si>
    <t>Scope 3 GHG emissions - Cat 7</t>
  </si>
  <si>
    <t xml:space="preserve">Transportation of employees between their homes and their worksites during the reporting year (in vehicles not owned or controlled by the reporting company).
Used commuting travel distances as primary data to derive the associated emissions.
An annual travel survey is completed by all employees which included total distance via each transport mode for each day of the week (zero on days that they worked from home).
For air travel emissions, the carbon factors used include radiative forcing (RF) as per Defra's recommendation:  “Organisations should include the influence of radiative forcing RF in air travel emissions to capture the maximum climate impact of their travel habits."
2024 Defra conversion factors were used to calculate the emissions.
Emissions are reported as tonnes CO2e (CO2 equivalent- including all GHG) </t>
  </si>
  <si>
    <t>Scope 3 GHG emissions - Cat 13</t>
  </si>
  <si>
    <r>
      <rPr>
        <sz val="11"/>
        <color rgb="FF000000"/>
        <rFont val="Calibri"/>
        <scheme val="minor"/>
      </rPr>
      <t>Operations of assets owned and leased to other entities in the reporting year, that are within operational control, and that are not included in scope 1 and scope 2.
Used energy data (electricity and gas) obtained from tenants as primary data.
Conversion of electricity data using the relevant conversion factors - electricity - IEA (2025), World Energy Balance ; IEA (2025) GHG Emissions from Energy. Year 2023 (CO</t>
    </r>
    <r>
      <rPr>
        <vertAlign val="subscript"/>
        <sz val="11"/>
        <color rgb="FF000000"/>
        <rFont val="Calibri"/>
        <scheme val="minor"/>
      </rPr>
      <t>2</t>
    </r>
    <r>
      <rPr>
        <sz val="11"/>
        <color rgb="FF000000"/>
        <rFont val="Calibri"/>
        <scheme val="minor"/>
      </rPr>
      <t>, N</t>
    </r>
    <r>
      <rPr>
        <vertAlign val="subscript"/>
        <sz val="11"/>
        <color rgb="FF000000"/>
        <rFont val="Calibri"/>
        <scheme val="minor"/>
      </rPr>
      <t>2</t>
    </r>
    <r>
      <rPr>
        <sz val="11"/>
        <color rgb="FF000000"/>
        <rFont val="Calibri"/>
        <scheme val="minor"/>
      </rPr>
      <t>O and CH</t>
    </r>
    <r>
      <rPr>
        <vertAlign val="subscript"/>
        <sz val="11"/>
        <color rgb="FF000000"/>
        <rFont val="Calibri"/>
        <scheme val="minor"/>
      </rPr>
      <t>4</t>
    </r>
    <r>
      <rPr>
        <sz val="11"/>
        <color rgb="FF000000"/>
        <rFont val="Calibri"/>
        <scheme val="minor"/>
      </rPr>
      <t>).
Emissions are reported as tonnes CO2e (CO2 equivalent- including all GHG) 
Gaps were estimated following a gap filling hierarchy methodology based on actual data, EUI estimations for known asset types based on actual data and following the GRESB estimation protocol for GRESB reporting.</t>
    </r>
  </si>
  <si>
    <t>All staff at end of reporting year split between Senior Management and Executive staff.
Evidence provided from our HR system and dashboards for each employee to calculate the percentage of female to male employees.</t>
  </si>
  <si>
    <t>All staff at end of reporting year split between Senior Management and Executive staff.
Evidence provided from our HR system and dashboards for each employee to calculate the  average annual salary (normalised for those staff working less than 5 days a week) and the percentage of female pay to male pay.</t>
  </si>
  <si>
    <t>All staff at end of reporting year split between Senior Management and Executive staff.
Evidence provided from our HR system and dashboards for each employee to calculate the percentage of female to male employees based on age group (0-30 years old, 31-50 years old or over 51 years old)</t>
  </si>
  <si>
    <t xml:space="preserve">All staff at end of reporting year - includes new hires.
Evidence provided from our HR system and dashboards for each employee to calculate the hours of continuous professional development per employee. </t>
  </si>
  <si>
    <t xml:space="preserve">All staff at end of reporting year - excludes new hires.
Evidence provided from our HR system and dashboards for each employee to calculate the percentage of employees who have had their annual objectives review completed versus those who have not. </t>
  </si>
  <si>
    <t>All staff at end of reporting year.
Evidence provided from our HR system and dashboards for each employee to calculate the percentage of employees who have joined the company during the calendar year and their gender.</t>
  </si>
  <si>
    <t xml:space="preserve">All staff at end of reporting year.
Evidence provided from our HR system and dashboards for each employee to calculate the percentage of employees who have left the company during the calendar year and their gender. </t>
  </si>
  <si>
    <t>Employee - health and safety lost days</t>
  </si>
  <si>
    <t>All staff at end of reporting year.
Evidence provided from our HR system and dashboards for each employee to calculate the total number of lost days for all staff due to workplace accidents/incidents as a ratio of total days worked across all staff.
The HR system logs those staff who have been absent due to a work place injury or accident for longer than 3 days and their absence has been logged as a lost day incident with the HSE.</t>
  </si>
  <si>
    <t>Employee - absentee rate</t>
  </si>
  <si>
    <t>All staff at end of reporting year.
Evidence provided from our HR system and dashboards for each employee to calculate the total number of lost days for all staff due to workplace accidents/incidents as a ratio of total days worked across all staff.</t>
  </si>
  <si>
    <t>Employee - health and wellbeing</t>
  </si>
  <si>
    <t xml:space="preserve">All staff at end of reporting year.
The operations team record the number of health and wellbeing initiatives offered to employees each year. </t>
  </si>
  <si>
    <t>Employee - anti bribery and corruption training</t>
  </si>
  <si>
    <t>All staff at end of reporting year.
Evidence provided from our HR system and dashboards for each employee to calculate the total number of CPD hours relating to anti bribery and corruption for all employees in the company.</t>
  </si>
  <si>
    <t>Employee - cyber security training</t>
  </si>
  <si>
    <t>All staff at end of reporting year.
Evidence provided from our HR system and dashboards for each employee to calculate the total number of CPD hours relating to Cyber Security for all employees in the company.</t>
  </si>
  <si>
    <t xml:space="preserve">Employee - Volunteering </t>
  </si>
  <si>
    <t xml:space="preserve">Total employee volunteer hours during 2025. Evidence provided from HR system where volunteer hours are logged by each individual employee during reporting year. </t>
  </si>
  <si>
    <t>Group - health and safety assets</t>
  </si>
  <si>
    <t>All managed offices and residential assets at end of reporting year. 
All managed assets carry out health and safety assessments (in the form of an ISO45001 audit/inspection, asset due diligence, insurance inspection) every 2 - 3 years and these are logged by the respective asset managers/building managers in the company online database for documentation.  
The ratio of the assessments carried out versus the number of assets is calculated separately across managed office assets and managed residential assets.</t>
  </si>
  <si>
    <t>Group - health and safety compliance</t>
  </si>
  <si>
    <t xml:space="preserve">All managed assets and head office operations.
If an inspection is carried out by the HSE or a public official then this is logged and if a non-compliance is issued (e.g. site closed) then this is also logged and reported internally and to our owners - Brookfield. 
The total number of these non-compliances is calculated annually. </t>
  </si>
  <si>
    <t>Group - incidents of anti-bribery and corruption</t>
  </si>
  <si>
    <t xml:space="preserve">Entity.
The risk and compliance team record the number of anti-bribery and corruption incidents that occur each year and report these quarterly to Brookfield and in risk and compliance committee meetings.  </t>
  </si>
  <si>
    <t>Group - Community Engagement</t>
  </si>
  <si>
    <t>All office assets at end of reporting year.
Each asset compiles a log of community activities and once annually for ESG reporting the percentage of assets where these activities are taking place versus assets with no activities is calculated.</t>
  </si>
  <si>
    <t>Group - Occupier satisfaction</t>
  </si>
  <si>
    <t>All occupiers.
Every year an occupier survey is carried out and the overall satisfaction score recorded as the Net Promoter Score.</t>
  </si>
  <si>
    <t xml:space="preserve">Group - Supplier due diligence </t>
  </si>
  <si>
    <t xml:space="preserve">Any supplier that has been screened during set up for any ESG criteria is logged by the risk and compliance and finance teams using the supplier due diligence process. 
Nominator = All suppliers on the supplier log that have been screened for ESG criteria
Denominator = All suppliers on the supplier log
The % of suppliers who have been screened for ESG criteria is then calculated for reporting year. </t>
  </si>
  <si>
    <t>Green building certification - LEED BD+C</t>
  </si>
  <si>
    <t xml:space="preserve">All portfolio assets owned at end of reporting year.
Any asset that has gained LEED BD+C certification receives a certificate that is kept on an internal file sharing system. The number of these certificates is calculated at the end of each year as well as the breakdown of certification achieved and the coverage as a percentage of the portfolio contracted rental value. </t>
  </si>
  <si>
    <t>Green building certification - LEED O+M</t>
  </si>
  <si>
    <t xml:space="preserve">All portfolio assets owned at end of reporting year.
Any asset that has gained LEED O+M certification receives a certificate that is kept on an internal file sharing system. The number of these certificates is calculated at the end of each year as well as the breakdown of certification achieved and the coverage as a percentage of the portfolio contracted rental value. </t>
  </si>
  <si>
    <t>Health and wellbeing building certification - WELL H&amp;S Rating</t>
  </si>
  <si>
    <t xml:space="preserve">All portfolio assets owned at end of reporting year.
Any asset that has gained WELL HSR certification receives a certificate that is kept on an internal file sharing system. The number of these certificates is calculated at the end of each year as well as the breakdown of certification achieved and the coverage as a percentage of the portfolio contracted rental value. </t>
  </si>
  <si>
    <t>Energy rating - BER</t>
  </si>
  <si>
    <t xml:space="preserve">All portfolio assets owned at end of reporting year.
Any asset that has gained a BER certificate receives a certificate that is kept on an internal file sharing system. The number of assets with certificates is calculated at the end of each year as well as the breakdown of certification achieved and the coverage as a percentage of the portfolio. </t>
  </si>
  <si>
    <t>Energy - all assets</t>
  </si>
  <si>
    <t>Indicator</t>
  </si>
  <si>
    <t>Change</t>
  </si>
  <si>
    <r>
      <t>Total electricity consumption</t>
    </r>
    <r>
      <rPr>
        <vertAlign val="superscript"/>
        <sz val="11"/>
        <color rgb="FF000000"/>
        <rFont val="Aptos Narrow"/>
        <family val="2"/>
      </rPr>
      <t>A</t>
    </r>
  </si>
  <si>
    <t>From offsite renewable sources</t>
  </si>
  <si>
    <t>From renewable sources</t>
  </si>
  <si>
    <t>Like-for-like electricity consumption*</t>
  </si>
  <si>
    <t>Total energy consumption from fuel</t>
  </si>
  <si>
    <t>Like-for-like consumption from fuel*</t>
  </si>
  <si>
    <t xml:space="preserve">Total energy consumption </t>
  </si>
  <si>
    <t>Energy - managed office assets</t>
  </si>
  <si>
    <t>Total electricity consumption (landlord controlled)</t>
  </si>
  <si>
    <t>From onsite renewable sources</t>
  </si>
  <si>
    <t>Total electricity consumption (tenant controlled)</t>
  </si>
  <si>
    <t>Total electricity consumption (landlord and tenant controlled)</t>
  </si>
  <si>
    <t>From renewable sources (offsite and onsite)</t>
  </si>
  <si>
    <t>Floor area</t>
  </si>
  <si>
    <r>
      <t>m</t>
    </r>
    <r>
      <rPr>
        <vertAlign val="superscript"/>
        <sz val="11"/>
        <color rgb="FF000000"/>
        <rFont val="Aptos Narrow"/>
        <family val="2"/>
      </rPr>
      <t>2</t>
    </r>
  </si>
  <si>
    <r>
      <t>Building energy intensity</t>
    </r>
    <r>
      <rPr>
        <vertAlign val="superscript"/>
        <sz val="11"/>
        <color rgb="FF000000"/>
        <rFont val="Aptos Narrow"/>
        <family val="2"/>
      </rPr>
      <t>A</t>
    </r>
  </si>
  <si>
    <r>
      <t>kWh/m</t>
    </r>
    <r>
      <rPr>
        <vertAlign val="superscript"/>
        <sz val="11"/>
        <color rgb="FF000000"/>
        <rFont val="Aptos Narrow"/>
        <family val="2"/>
      </rPr>
      <t>2</t>
    </r>
  </si>
  <si>
    <t>Like-for-like building energy intensity*</t>
  </si>
  <si>
    <t>Energy - managed residential assets</t>
  </si>
  <si>
    <t>Total electricity consumption</t>
  </si>
  <si>
    <t>From  renewable sources</t>
  </si>
  <si>
    <t>Like-for-like electricity consumption</t>
  </si>
  <si>
    <t>Like-for-like consumption from fuel</t>
  </si>
  <si>
    <t>Number of units**</t>
  </si>
  <si>
    <t>Unit energy intensity</t>
  </si>
  <si>
    <t>kWh/unit</t>
  </si>
  <si>
    <t>Energy - Hibernia head office</t>
  </si>
  <si>
    <r>
      <rPr>
        <vertAlign val="superscript"/>
        <sz val="11"/>
        <color theme="1"/>
        <rFont val="Calibri"/>
        <family val="2"/>
        <scheme val="minor"/>
      </rPr>
      <t>A</t>
    </r>
    <r>
      <rPr>
        <sz val="11"/>
        <color theme="1"/>
        <rFont val="Calibri"/>
        <family val="2"/>
        <scheme val="minor"/>
      </rPr>
      <t xml:space="preserve"> - Assured</t>
    </r>
  </si>
  <si>
    <t>* - Central Quay sold in March 2025 and removed for like-for-like comparisons</t>
  </si>
  <si>
    <t>** - No. of residential units updated for 2024 &amp; 2025 due to asset classification  (updated for 2024 to remove Cannon Place as not classified as a managed asset)</t>
  </si>
  <si>
    <t>Water - all assets</t>
  </si>
  <si>
    <t>Unit of measurement</t>
  </si>
  <si>
    <r>
      <t>Total water consumption</t>
    </r>
    <r>
      <rPr>
        <vertAlign val="superscript"/>
        <sz val="11"/>
        <color theme="1"/>
        <rFont val="Calibri"/>
        <family val="2"/>
        <scheme val="minor"/>
      </rPr>
      <t>A</t>
    </r>
  </si>
  <si>
    <r>
      <t>m</t>
    </r>
    <r>
      <rPr>
        <vertAlign val="superscript"/>
        <sz val="11"/>
        <color theme="1"/>
        <rFont val="Calibri"/>
        <family val="2"/>
        <scheme val="minor"/>
      </rPr>
      <t>3</t>
    </r>
  </si>
  <si>
    <t>Like-for-like water consumption</t>
  </si>
  <si>
    <t>Building water consumption intensity</t>
  </si>
  <si>
    <r>
      <t>(m</t>
    </r>
    <r>
      <rPr>
        <vertAlign val="superscript"/>
        <sz val="11"/>
        <color theme="1"/>
        <rFont val="Calibri"/>
        <family val="2"/>
        <scheme val="minor"/>
      </rPr>
      <t>3</t>
    </r>
    <r>
      <rPr>
        <sz val="11"/>
        <color theme="1"/>
        <rFont val="Calibri"/>
        <family val="2"/>
        <scheme val="minor"/>
      </rPr>
      <t>/m</t>
    </r>
    <r>
      <rPr>
        <vertAlign val="superscript"/>
        <sz val="11"/>
        <color theme="1"/>
        <rFont val="Calibri"/>
        <family val="2"/>
        <scheme val="minor"/>
      </rPr>
      <t>2</t>
    </r>
    <r>
      <rPr>
        <sz val="11"/>
        <color theme="1"/>
        <rFont val="Calibri"/>
        <family val="2"/>
        <scheme val="minor"/>
      </rPr>
      <t>.ann)</t>
    </r>
  </si>
  <si>
    <t>Water - managed offices</t>
  </si>
  <si>
    <t>Total water consumption</t>
  </si>
  <si>
    <t>Water - Hibernia head office</t>
  </si>
  <si>
    <t>Waste - all assets</t>
  </si>
  <si>
    <r>
      <t>Weight of waste by disposal route (total)</t>
    </r>
    <r>
      <rPr>
        <vertAlign val="superscript"/>
        <sz val="11"/>
        <color theme="1"/>
        <rFont val="Calibri"/>
        <family val="2"/>
        <scheme val="minor"/>
      </rPr>
      <t>A</t>
    </r>
  </si>
  <si>
    <t>% recycled</t>
  </si>
  <si>
    <t>% composted</t>
  </si>
  <si>
    <t>% sent to incineration</t>
  </si>
  <si>
    <t>Weight of waste by disposal route (like-for-like)*</t>
  </si>
  <si>
    <t>Waste - managed offices</t>
  </si>
  <si>
    <t>Weight of waste by disposal route (total)</t>
  </si>
  <si>
    <t>Weight of waste by disposal route (like-for-like)</t>
  </si>
  <si>
    <t>Waste - Hibernia head office</t>
  </si>
  <si>
    <t>Weight of waste by disposal route (total)**</t>
  </si>
  <si>
    <t>*2024 figure now includes Gateway waste - unavailable for 2024 reporting. Removed from like-for-like comparison</t>
  </si>
  <si>
    <r>
      <rPr>
        <sz val="11"/>
        <color rgb="FF000000"/>
        <rFont val="Calibri"/>
        <scheme val="minor"/>
      </rPr>
      <t>**</t>
    </r>
    <r>
      <rPr>
        <i/>
        <sz val="11"/>
        <color rgb="FF000000"/>
        <rFont val="Calibri"/>
        <scheme val="minor"/>
      </rPr>
      <t>2024 figure updated to include only Hibernia head office (2024 ESG data book included figure for 1WML)</t>
    </r>
  </si>
  <si>
    <t>Sub-area</t>
  </si>
  <si>
    <t>Units of measurement</t>
  </si>
  <si>
    <t>Net Zero Carbon Pathway</t>
  </si>
  <si>
    <t>BBP framework</t>
  </si>
  <si>
    <t>WorldGBC framework</t>
  </si>
  <si>
    <r>
      <t>Scope 1 – Total</t>
    </r>
    <r>
      <rPr>
        <vertAlign val="superscript"/>
        <sz val="11"/>
        <color theme="1"/>
        <rFont val="Calibri"/>
        <family val="2"/>
        <scheme val="minor"/>
      </rPr>
      <t>A</t>
    </r>
  </si>
  <si>
    <t>Purchased fuels</t>
  </si>
  <si>
    <r>
      <t>tCO</t>
    </r>
    <r>
      <rPr>
        <vertAlign val="subscript"/>
        <sz val="11"/>
        <color rgb="FF000000"/>
        <rFont val="Calibri"/>
        <family val="2"/>
      </rPr>
      <t>2</t>
    </r>
    <r>
      <rPr>
        <sz val="11"/>
        <color rgb="FF000000"/>
        <rFont val="Calibri"/>
        <family val="2"/>
      </rPr>
      <t>e</t>
    </r>
  </si>
  <si>
    <t>Refrigerants</t>
  </si>
  <si>
    <r>
      <t>Scope 2 – Total</t>
    </r>
    <r>
      <rPr>
        <vertAlign val="superscript"/>
        <sz val="11"/>
        <color theme="1"/>
        <rFont val="Calibri"/>
        <family val="2"/>
        <scheme val="minor"/>
      </rPr>
      <t>A</t>
    </r>
  </si>
  <si>
    <t>Purchased electricity (location-based)</t>
  </si>
  <si>
    <t>Renewable tariffs (market-based)</t>
  </si>
  <si>
    <t xml:space="preserve">Total Scope 1 and 2  </t>
  </si>
  <si>
    <r>
      <t>Scope 1 and 2 intensity</t>
    </r>
    <r>
      <rPr>
        <vertAlign val="superscript"/>
        <sz val="11"/>
        <color theme="1"/>
        <rFont val="Calibri"/>
        <family val="2"/>
        <scheme val="minor"/>
      </rPr>
      <t>A</t>
    </r>
  </si>
  <si>
    <t>Managed office and managed residential space</t>
  </si>
  <si>
    <r>
      <t>tCO</t>
    </r>
    <r>
      <rPr>
        <vertAlign val="subscript"/>
        <sz val="11"/>
        <color rgb="FF000000"/>
        <rFont val="Calibri"/>
        <family val="2"/>
      </rPr>
      <t>2</t>
    </r>
    <r>
      <rPr>
        <sz val="11"/>
        <color rgb="FF000000"/>
        <rFont val="Calibri"/>
        <family val="2"/>
      </rPr>
      <t>e/m</t>
    </r>
    <r>
      <rPr>
        <vertAlign val="superscript"/>
        <sz val="11"/>
        <color rgb="FF000000"/>
        <rFont val="Calibri"/>
        <family val="2"/>
      </rPr>
      <t>2</t>
    </r>
  </si>
  <si>
    <t>Scope 3</t>
  </si>
  <si>
    <r>
      <t>1 Purchased goods and services</t>
    </r>
    <r>
      <rPr>
        <vertAlign val="superscript"/>
        <sz val="11"/>
        <color theme="1"/>
        <rFont val="Calibri"/>
        <family val="2"/>
        <scheme val="minor"/>
      </rPr>
      <t>A</t>
    </r>
  </si>
  <si>
    <t>Purchased goods and services - corporate</t>
  </si>
  <si>
    <t>Purchased goods and services - property management</t>
  </si>
  <si>
    <r>
      <t>2 Capital goods</t>
    </r>
    <r>
      <rPr>
        <vertAlign val="superscript"/>
        <sz val="11"/>
        <color theme="1"/>
        <rFont val="Calibri"/>
        <family val="2"/>
        <scheme val="minor"/>
      </rPr>
      <t>A</t>
    </r>
  </si>
  <si>
    <t xml:space="preserve">Developments and refurbishments </t>
  </si>
  <si>
    <r>
      <t>3 Fuel- and energy- related activities</t>
    </r>
    <r>
      <rPr>
        <vertAlign val="superscript"/>
        <sz val="11"/>
        <color theme="1"/>
        <rFont val="Calibri"/>
        <family val="2"/>
        <scheme val="minor"/>
      </rPr>
      <t>A</t>
    </r>
  </si>
  <si>
    <t xml:space="preserve">Landlord purchased energy </t>
  </si>
  <si>
    <r>
      <t>5 Waste generated in operations</t>
    </r>
    <r>
      <rPr>
        <vertAlign val="superscript"/>
        <sz val="11"/>
        <color theme="1"/>
        <rFont val="Calibri"/>
        <family val="2"/>
        <scheme val="minor"/>
      </rPr>
      <t>A</t>
    </r>
  </si>
  <si>
    <t>Operational waste generated</t>
  </si>
  <si>
    <r>
      <t>6 Business travel</t>
    </r>
    <r>
      <rPr>
        <vertAlign val="superscript"/>
        <sz val="11"/>
        <color theme="1"/>
        <rFont val="Calibri"/>
        <family val="2"/>
        <scheme val="minor"/>
      </rPr>
      <t>A</t>
    </r>
  </si>
  <si>
    <t>Employee business travel</t>
  </si>
  <si>
    <r>
      <t>7 Employee commuting</t>
    </r>
    <r>
      <rPr>
        <vertAlign val="superscript"/>
        <sz val="11"/>
        <color theme="1"/>
        <rFont val="Calibri"/>
        <family val="2"/>
        <scheme val="minor"/>
      </rPr>
      <t>A</t>
    </r>
  </si>
  <si>
    <t>Employee commuting</t>
  </si>
  <si>
    <r>
      <t>13 Downstream leased assets</t>
    </r>
    <r>
      <rPr>
        <vertAlign val="superscript"/>
        <sz val="11"/>
        <color theme="1"/>
        <rFont val="Calibri"/>
        <family val="2"/>
        <scheme val="minor"/>
      </rPr>
      <t>A</t>
    </r>
  </si>
  <si>
    <t>Occupier purchased energy (electricity and fuels)</t>
  </si>
  <si>
    <t>Scope 3 – Total</t>
  </si>
  <si>
    <t>Total Scope 1, 2 and 3</t>
  </si>
  <si>
    <t>Platinum</t>
  </si>
  <si>
    <t>Gold</t>
  </si>
  <si>
    <t>Projects delivered</t>
  </si>
  <si>
    <t>% of contracted rent (portfolio)</t>
  </si>
  <si>
    <t>% of contracted rent (managed office portfolio)</t>
  </si>
  <si>
    <t>Certified</t>
  </si>
  <si>
    <t>% of contracted rent (office portfolio)</t>
  </si>
  <si>
    <t>Rating</t>
  </si>
  <si>
    <t>A1</t>
  </si>
  <si>
    <t>A2</t>
  </si>
  <si>
    <t>A3</t>
  </si>
  <si>
    <t>B1</t>
  </si>
  <si>
    <t>B2</t>
  </si>
  <si>
    <t>B3</t>
  </si>
  <si>
    <t>C1</t>
  </si>
  <si>
    <t>C2</t>
  </si>
  <si>
    <t>C3</t>
  </si>
  <si>
    <t>D</t>
  </si>
  <si>
    <t>E</t>
  </si>
  <si>
    <t>F</t>
  </si>
  <si>
    <t>G</t>
  </si>
  <si>
    <t>Office portfolio</t>
  </si>
  <si>
    <t>Managed portfolio</t>
  </si>
  <si>
    <t>Metric</t>
  </si>
  <si>
    <t>% change</t>
  </si>
  <si>
    <t>Comment</t>
  </si>
  <si>
    <t>Electricity consumption (location based) intensity</t>
  </si>
  <si>
    <r>
      <t>kWh/m</t>
    </r>
    <r>
      <rPr>
        <vertAlign val="superscript"/>
        <sz val="11"/>
        <color theme="1"/>
        <rFont val="Calibri"/>
        <family val="2"/>
        <scheme val="minor"/>
      </rPr>
      <t>2</t>
    </r>
    <r>
      <rPr>
        <sz val="11"/>
        <color theme="1"/>
        <rFont val="Calibri"/>
        <family val="2"/>
        <scheme val="minor"/>
      </rPr>
      <t>/yr</t>
    </r>
  </si>
  <si>
    <t>managed offices only</t>
  </si>
  <si>
    <t>Energy consumption from fuel intensity</t>
  </si>
  <si>
    <r>
      <rPr>
        <sz val="11"/>
        <color rgb="FF000000"/>
        <rFont val="Calibri"/>
        <scheme val="minor"/>
      </rPr>
      <t>Energy use intensity versus 2030 Net Zero Carbon Pathway target</t>
    </r>
    <r>
      <rPr>
        <vertAlign val="superscript"/>
        <sz val="11"/>
        <color rgb="FF000000"/>
        <rFont val="Calibri"/>
        <scheme val="minor"/>
      </rPr>
      <t>A</t>
    </r>
  </si>
  <si>
    <t xml:space="preserve">% </t>
  </si>
  <si>
    <t>Total scope 1 and 2 emissions intensity</t>
  </si>
  <si>
    <r>
      <t>tCO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2</t>
    </r>
    <r>
      <rPr>
        <sz val="11"/>
        <color theme="1"/>
        <rFont val="Calibri"/>
        <family val="2"/>
        <scheme val="minor"/>
      </rPr>
      <t>/yr</t>
    </r>
  </si>
  <si>
    <t>Total scope 3 emissions intensity</t>
  </si>
  <si>
    <t>downstream leased assets</t>
  </si>
  <si>
    <t>Total Scope 1, 2 and 3 emissions intensity</t>
  </si>
  <si>
    <r>
      <t>tCO</t>
    </r>
    <r>
      <rPr>
        <vertAlign val="subscript"/>
        <sz val="11"/>
        <color theme="1"/>
        <rFont val="Calibri"/>
        <family val="2"/>
        <scheme val="minor"/>
      </rPr>
      <t>2</t>
    </r>
    <r>
      <rPr>
        <sz val="11"/>
        <color theme="1"/>
        <rFont val="Calibri"/>
        <family val="2"/>
        <scheme val="minor"/>
      </rPr>
      <t>e/€m turnover</t>
    </r>
  </si>
  <si>
    <t>all operations</t>
  </si>
  <si>
    <t>Building water intensity</t>
  </si>
  <si>
    <r>
      <t>m</t>
    </r>
    <r>
      <rPr>
        <vertAlign val="superscript"/>
        <sz val="11"/>
        <color theme="1"/>
        <rFont val="Calibri"/>
        <family val="2"/>
        <scheme val="minor"/>
      </rPr>
      <t>3</t>
    </r>
    <r>
      <rPr>
        <sz val="11"/>
        <color theme="1"/>
        <rFont val="Calibri"/>
        <family val="2"/>
        <scheme val="minor"/>
      </rPr>
      <t>/m</t>
    </r>
    <r>
      <rPr>
        <vertAlign val="superscript"/>
        <sz val="11"/>
        <color theme="1"/>
        <rFont val="Calibri"/>
        <family val="2"/>
        <scheme val="minor"/>
      </rPr>
      <t>2</t>
    </r>
    <r>
      <rPr>
        <sz val="11"/>
        <color theme="1"/>
        <rFont val="Calibri"/>
        <family val="2"/>
        <scheme val="minor"/>
      </rPr>
      <t>/yr</t>
    </r>
  </si>
  <si>
    <t>Waste generated*</t>
  </si>
  <si>
    <t>portfolio</t>
  </si>
  <si>
    <t>Waste recycled</t>
  </si>
  <si>
    <r>
      <t>Percentage of revenues derived from LEED BD+C (Core and Shell) certified assets</t>
    </r>
    <r>
      <rPr>
        <vertAlign val="superscript"/>
        <sz val="11"/>
        <color theme="1"/>
        <rFont val="Calibri"/>
        <family val="2"/>
        <scheme val="minor"/>
      </rPr>
      <t>A</t>
    </r>
  </si>
  <si>
    <r>
      <t>Percentage of revenues derived from LEED O+M (Operations and Maintenance) certified assets</t>
    </r>
    <r>
      <rPr>
        <vertAlign val="superscript"/>
        <sz val="11"/>
        <color theme="1"/>
        <rFont val="Calibri"/>
        <family val="2"/>
        <scheme val="minor"/>
      </rPr>
      <t>A</t>
    </r>
  </si>
  <si>
    <t>Percentage of revenues derived from BER rated buildings B3 or better</t>
  </si>
  <si>
    <t>office portfolio</t>
  </si>
  <si>
    <t>Investment in energy/carbon saving measures</t>
  </si>
  <si>
    <t>Solar PV installation</t>
  </si>
  <si>
    <t>Estimated annual energy savings from measures</t>
  </si>
  <si>
    <t>Savings estimated across landlord and occupier spaces.</t>
  </si>
  <si>
    <t>Estimated annual greenhouse gas emissions savings</t>
  </si>
  <si>
    <r>
      <t>tCO</t>
    </r>
    <r>
      <rPr>
        <vertAlign val="subscript"/>
        <sz val="11"/>
        <color theme="1"/>
        <rFont val="Calibri"/>
        <family val="2"/>
        <scheme val="minor"/>
      </rPr>
      <t>2</t>
    </r>
    <r>
      <rPr>
        <sz val="11"/>
        <color theme="1"/>
        <rFont val="Calibri"/>
        <family val="2"/>
        <scheme val="minor"/>
      </rPr>
      <t>e</t>
    </r>
  </si>
  <si>
    <t>Total amount of capital raised via the Internal Carbon Price</t>
  </si>
  <si>
    <t>Whole life carbon measured for Harcourt Square for 12 months to end December 2025</t>
  </si>
  <si>
    <t>CAT 2 Figure X 70 euro</t>
  </si>
  <si>
    <t>Percentage of capital invested via the Carbon Reduction Fund generated from previous year</t>
  </si>
  <si>
    <t>Percentage of suppliers engaged on Scope 3 emissions</t>
  </si>
  <si>
    <t>% of emissions</t>
  </si>
  <si>
    <t>property management suppliers</t>
  </si>
  <si>
    <t>*2024 figure now includes Gateway waste - unavailable for 2024 reporting</t>
  </si>
  <si>
    <t>Social and Governance</t>
  </si>
  <si>
    <t>Scope</t>
  </si>
  <si>
    <r>
      <t>Gender - diversity</t>
    </r>
    <r>
      <rPr>
        <vertAlign val="superscript"/>
        <sz val="11"/>
        <color theme="1"/>
        <rFont val="Calibri"/>
        <family val="2"/>
        <scheme val="minor"/>
      </rPr>
      <t>A</t>
    </r>
  </si>
  <si>
    <t>% of female employees</t>
  </si>
  <si>
    <t>Corporate operations</t>
  </si>
  <si>
    <t>% of female employees at senior levels</t>
  </si>
  <si>
    <r>
      <t>Gender - pay</t>
    </r>
    <r>
      <rPr>
        <vertAlign val="superscript"/>
        <sz val="11"/>
        <color theme="1"/>
        <rFont val="Calibri"/>
        <family val="2"/>
        <scheme val="minor"/>
      </rPr>
      <t>A</t>
    </r>
  </si>
  <si>
    <t>Gender - age distribution</t>
  </si>
  <si>
    <t>% all staff 0-30 years of age</t>
  </si>
  <si>
    <t>All staff 0-30 years of age - male</t>
  </si>
  <si>
    <t>All staff 0-30 years of age - female</t>
  </si>
  <si>
    <t>% Senior Management 0-30 years of age</t>
  </si>
  <si>
    <t>Senior Management 0-30 years of age - male</t>
  </si>
  <si>
    <t>Senior Management 0-30 years of age - female</t>
  </si>
  <si>
    <t>% staff 31-50 years of age</t>
  </si>
  <si>
    <t>All staff 31-50  years of age - male</t>
  </si>
  <si>
    <t>All staff 31-50  years of age - female</t>
  </si>
  <si>
    <t>% Senior Management 31-50  years of age</t>
  </si>
  <si>
    <t>Senior Management 31-50  years of age - male</t>
  </si>
  <si>
    <t>Senior Management 31-50  years of age - female</t>
  </si>
  <si>
    <t>% staff 51 plus years of age</t>
  </si>
  <si>
    <t>All staff 51 plus  years of age - male</t>
  </si>
  <si>
    <t>All staff 51 plus  years of age - female</t>
  </si>
  <si>
    <t>% Senior Management 51 plus  years of age</t>
  </si>
  <si>
    <t>Senior Management 51 plus years of age - male</t>
  </si>
  <si>
    <t>Senior Management 51 plus years of age - female</t>
  </si>
  <si>
    <r>
      <t>Training</t>
    </r>
    <r>
      <rPr>
        <vertAlign val="superscript"/>
        <sz val="11"/>
        <color theme="1"/>
        <rFont val="Calibri"/>
        <family val="2"/>
        <scheme val="minor"/>
      </rPr>
      <t>A</t>
    </r>
  </si>
  <si>
    <t>Average hours per employee</t>
  </si>
  <si>
    <r>
      <t>ESG related training</t>
    </r>
    <r>
      <rPr>
        <vertAlign val="superscript"/>
        <sz val="11"/>
        <color theme="1"/>
        <rFont val="Calibri"/>
        <family val="2"/>
        <scheme val="minor"/>
      </rPr>
      <t>A</t>
    </r>
  </si>
  <si>
    <r>
      <t>Employee engagement</t>
    </r>
    <r>
      <rPr>
        <vertAlign val="superscript"/>
        <sz val="11"/>
        <color theme="1"/>
        <rFont val="Calibri"/>
        <family val="2"/>
        <scheme val="minor"/>
      </rPr>
      <t>A</t>
    </r>
  </si>
  <si>
    <r>
      <t>New hires</t>
    </r>
    <r>
      <rPr>
        <vertAlign val="superscript"/>
        <sz val="11"/>
        <color theme="1"/>
        <rFont val="Calibri"/>
        <family val="2"/>
        <scheme val="minor"/>
      </rPr>
      <t>A</t>
    </r>
  </si>
  <si>
    <t>Total number</t>
  </si>
  <si>
    <t>4 (1:1 female to male)</t>
  </si>
  <si>
    <t>7 (1:6 female to male)</t>
  </si>
  <si>
    <r>
      <t>Turnover</t>
    </r>
    <r>
      <rPr>
        <vertAlign val="superscript"/>
        <sz val="11"/>
        <color theme="1"/>
        <rFont val="Calibri"/>
        <family val="2"/>
        <scheme val="minor"/>
      </rPr>
      <t>A</t>
    </r>
  </si>
  <si>
    <t>5 (1:4 female to male)</t>
  </si>
  <si>
    <t>6 (2:4 female to male)</t>
  </si>
  <si>
    <t>Injury rate</t>
  </si>
  <si>
    <t>per x hours works</t>
  </si>
  <si>
    <t>Lost day rate</t>
  </si>
  <si>
    <t>% of total days scheduled to work</t>
  </si>
  <si>
    <t>Fatalities</t>
  </si>
  <si>
    <t>H&amp;S impact assessments</t>
  </si>
  <si>
    <t>% of assets</t>
  </si>
  <si>
    <t>Managed Office portfolio</t>
  </si>
  <si>
    <t>Managed Residential portfolio</t>
  </si>
  <si>
    <t>Number of incidents</t>
  </si>
  <si>
    <t>No instances of non-compliance</t>
  </si>
  <si>
    <t>Residential portfolio</t>
  </si>
  <si>
    <r>
      <t>Employee health and wellbeing</t>
    </r>
    <r>
      <rPr>
        <vertAlign val="superscript"/>
        <sz val="11"/>
        <color theme="1"/>
        <rFont val="Calibri"/>
        <family val="2"/>
        <scheme val="minor"/>
      </rPr>
      <t>A</t>
    </r>
  </si>
  <si>
    <t>No. health and wellbeing events</t>
  </si>
  <si>
    <r>
      <t>ABC - instances</t>
    </r>
    <r>
      <rPr>
        <vertAlign val="superscript"/>
        <sz val="11"/>
        <color theme="1"/>
        <rFont val="Calibri"/>
        <family val="2"/>
        <scheme val="minor"/>
      </rPr>
      <t>A</t>
    </r>
  </si>
  <si>
    <r>
      <t>ABC - employee training</t>
    </r>
    <r>
      <rPr>
        <vertAlign val="superscript"/>
        <sz val="11"/>
        <color theme="1"/>
        <rFont val="Calibri"/>
        <family val="2"/>
        <scheme val="minor"/>
      </rPr>
      <t>A</t>
    </r>
  </si>
  <si>
    <r>
      <t>Cyber security - employee training</t>
    </r>
    <r>
      <rPr>
        <vertAlign val="superscript"/>
        <sz val="11"/>
        <color theme="1"/>
        <rFont val="Calibri"/>
        <family val="2"/>
        <scheme val="minor"/>
      </rPr>
      <t>A</t>
    </r>
  </si>
  <si>
    <r>
      <t>Community programmes</t>
    </r>
    <r>
      <rPr>
        <vertAlign val="superscript"/>
        <sz val="11"/>
        <color theme="1"/>
        <rFont val="Calibri"/>
        <family val="2"/>
        <scheme val="minor"/>
      </rPr>
      <t>A</t>
    </r>
  </si>
  <si>
    <r>
      <t>Volunteering</t>
    </r>
    <r>
      <rPr>
        <vertAlign val="superscript"/>
        <sz val="11"/>
        <color theme="1"/>
        <rFont val="Calibri"/>
        <family val="2"/>
        <scheme val="minor"/>
      </rPr>
      <t>A</t>
    </r>
  </si>
  <si>
    <t>Total employee hours</t>
  </si>
  <si>
    <t>Net Promoter Score</t>
  </si>
  <si>
    <r>
      <t>Supplier due diligence</t>
    </r>
    <r>
      <rPr>
        <vertAlign val="superscript"/>
        <sz val="11"/>
        <color theme="1"/>
        <rFont val="Calibri"/>
        <family val="2"/>
        <scheme val="minor"/>
      </rPr>
      <t>A</t>
    </r>
  </si>
  <si>
    <t>% of suppliers assessed</t>
  </si>
  <si>
    <t>2024 valuation</t>
  </si>
  <si>
    <t xml:space="preserve">Common area </t>
  </si>
  <si>
    <t xml:space="preserve">Common area ratio of 20-30% of whole building as per GRESB guidelines </t>
  </si>
  <si>
    <t>Name</t>
  </si>
  <si>
    <t xml:space="preserve">NIA sq.ft </t>
  </si>
  <si>
    <t xml:space="preserve">m2 conversion </t>
  </si>
  <si>
    <t>m2</t>
  </si>
  <si>
    <t xml:space="preserve">20-30% </t>
  </si>
  <si>
    <t xml:space="preserve">1 Cumberland Place </t>
  </si>
  <si>
    <t>Earlsfort Terrace</t>
  </si>
  <si>
    <t>Resi Units 1WML</t>
  </si>
  <si>
    <t>Wyckham Place</t>
  </si>
  <si>
    <t>Gateway Business Park</t>
  </si>
  <si>
    <t>SOBO Works</t>
  </si>
  <si>
    <t>35 -37 Camden Street</t>
  </si>
  <si>
    <t>1-6 Sir John Rogerson's Quay</t>
  </si>
  <si>
    <t xml:space="preserve">2 Cumberland Place </t>
  </si>
  <si>
    <t xml:space="preserve">Portview House - offices </t>
  </si>
  <si>
    <t xml:space="preserve">Portview House - Resi </t>
  </si>
  <si>
    <t>Column2</t>
  </si>
  <si>
    <t>Cluster</t>
  </si>
  <si>
    <t>Managed or Not</t>
  </si>
  <si>
    <t>Building Type</t>
  </si>
  <si>
    <t>Common Area m2</t>
  </si>
  <si>
    <t>NIA m2</t>
  </si>
  <si>
    <t>GIA m2</t>
  </si>
  <si>
    <t>Rental Income 2024</t>
  </si>
  <si>
    <t>Value</t>
  </si>
  <si>
    <t>Green Building Certification BD+C</t>
  </si>
  <si>
    <t>Green Building Certification O+M</t>
  </si>
  <si>
    <t>Exp Date</t>
  </si>
  <si>
    <t>H&amp;W Building Certification</t>
  </si>
  <si>
    <t>Wiredscore</t>
  </si>
  <si>
    <t>BER</t>
  </si>
  <si>
    <t>Community engagement</t>
  </si>
  <si>
    <t>Resilience - Climate</t>
  </si>
  <si>
    <t>Net Zero Target</t>
  </si>
  <si>
    <t>Cumberland</t>
  </si>
  <si>
    <t>Managed</t>
  </si>
  <si>
    <t>Office</t>
  </si>
  <si>
    <t>WELL HSR</t>
  </si>
  <si>
    <t>Y</t>
  </si>
  <si>
    <t>Windmill Quarter</t>
  </si>
  <si>
    <t>Not</t>
  </si>
  <si>
    <t>N</t>
  </si>
  <si>
    <t>Residential</t>
  </si>
  <si>
    <t>Industrial</t>
  </si>
  <si>
    <t>D1</t>
  </si>
  <si>
    <t>Hardwicke and Montague</t>
  </si>
  <si>
    <t xml:space="preserve">Portview Office/Resi </t>
  </si>
  <si>
    <t>Mixed (Office/Resi)</t>
  </si>
  <si>
    <t>Totals(GRESB)</t>
  </si>
  <si>
    <t>Total (in portfolio end Dec 2024)</t>
  </si>
  <si>
    <t>Managed office</t>
  </si>
  <si>
    <t>Managed Portfolio</t>
  </si>
  <si>
    <t>Floor area LEED - office only m2</t>
  </si>
  <si>
    <t>Floor area LEED - office only %</t>
  </si>
  <si>
    <t>Floor area WELL HSR</t>
  </si>
  <si>
    <t>Floor area WiredScore</t>
  </si>
  <si>
    <t>Hibernia Head Office</t>
  </si>
  <si>
    <t xml:space="preserve">Environmental disclosures </t>
  </si>
  <si>
    <t>MWh</t>
  </si>
  <si>
    <t xml:space="preserve">Total energy consumption mWh  </t>
  </si>
  <si>
    <t>Renewable</t>
  </si>
  <si>
    <t>Non-renewable</t>
  </si>
  <si>
    <t>Total renewable and non-renewable</t>
  </si>
  <si>
    <t>Electricity (as reflected in utility billings)</t>
  </si>
  <si>
    <t>Self-generated electricity</t>
  </si>
  <si>
    <t>Fuels (see Fuel Converter on Fuels worksheet)</t>
  </si>
  <si>
    <t>Current Reporting Period</t>
  </si>
  <si>
    <t>Base Year</t>
  </si>
  <si>
    <t>Target Year</t>
  </si>
  <si>
    <t>Percentage reduction from base year</t>
  </si>
  <si>
    <t>Year (date)</t>
  </si>
  <si>
    <t>2025-01-01  -  2025-12-31</t>
  </si>
  <si>
    <t>Gross Scope 1 GHG Emissions</t>
  </si>
  <si>
    <t>-</t>
  </si>
  <si>
    <t>Gross Scope 2 location-based GHG Emissions</t>
  </si>
  <si>
    <t>Gross scope 2 market-based GHG Emissions - May (optional)</t>
  </si>
  <si>
    <t>Total Scope 1 and Scope 2 GHG Emissions (location-based)</t>
  </si>
  <si>
    <t>Total Scope 1 and Scope 2 GHG emissions  (market-based) - May (optional)</t>
  </si>
  <si>
    <t>Is the undertaking disclosing entity-specific information on Scope 3 emissions (in tCO2e)?</t>
  </si>
  <si>
    <t>1. Purchased Goods and Services</t>
  </si>
  <si>
    <t>2. Capital Goods</t>
  </si>
  <si>
    <t>3. Fuel- and Energy-Related Activities (Not Included in Scope 1 or Scope 2)</t>
  </si>
  <si>
    <t>4. Upstream Transportation and Distribution</t>
  </si>
  <si>
    <t>5. Waste Generated in Operations</t>
  </si>
  <si>
    <t>6. Business Travel</t>
  </si>
  <si>
    <t>7. Employee Commuting</t>
  </si>
  <si>
    <t>8. Upstream Leased Assets</t>
  </si>
  <si>
    <t>9. Downstream Transportation and Distribution</t>
  </si>
  <si>
    <t>10. Processing of Sold Products</t>
  </si>
  <si>
    <t>11. Use of Sold Products</t>
  </si>
  <si>
    <t>12. End-of-Life Treatment of Sold Products</t>
  </si>
  <si>
    <t>13. Downstream Leased Assets</t>
  </si>
  <si>
    <t>14. Franchises</t>
  </si>
  <si>
    <t>15. Investments</t>
  </si>
  <si>
    <t>Total Scope 3 GHG  emissions</t>
  </si>
  <si>
    <t>Total Scope 1 Scope 2 and Scope 3 GHG Emissions (location-based)</t>
  </si>
  <si>
    <t>Total Scope 1 Scope 2 and Scope 3 GHG Emissions (market-based) - May (optional)</t>
  </si>
  <si>
    <t>Total amount of water withdrawn from all sites (cubic meters m³)</t>
  </si>
  <si>
    <t>Amount of water withdrawn at sites located in areas of high water-stress (cubic meters m³)</t>
  </si>
  <si>
    <t>Row ID</t>
  </si>
  <si>
    <t>Type of waste (drop down)</t>
  </si>
  <si>
    <t>Waste diverted to recycle or reuse</t>
  </si>
  <si>
    <t>Waste directed to disposal</t>
  </si>
  <si>
    <t>Amount of waste recycled reused and directed to disposal</t>
  </si>
  <si>
    <t xml:space="preserve">    15 01 06 - Non-Hazardous - Mixed packaging</t>
  </si>
  <si>
    <t>metric tonnes (t)</t>
  </si>
  <si>
    <t xml:space="preserve">    20 01 08 - Non-Hazardous - Biodegradable kitchen and canteen waste</t>
  </si>
  <si>
    <t xml:space="preserve">    20 03 01 - Non-Hazardous - Mixed municipal waste</t>
  </si>
  <si>
    <t>Total amount of waste generated</t>
  </si>
  <si>
    <t>Total Hazardous waste generated (mass)</t>
  </si>
  <si>
    <t>Total Non-Hazardous waste generated (mass)</t>
  </si>
  <si>
    <t>Total waste generated (mass)</t>
  </si>
  <si>
    <t>Total Hazardous waste generated (volume)</t>
  </si>
  <si>
    <t>cubic meters (m³)</t>
  </si>
  <si>
    <t>Total Non-Hazardous waste generated (volume)</t>
  </si>
  <si>
    <t>Total waste generated (volume)</t>
  </si>
  <si>
    <t>GRESB 2025</t>
  </si>
  <si>
    <t xml:space="preserve">Total Energy Consumption (EN1) </t>
  </si>
  <si>
    <t>(sum of landlord elec, tenant elec, whole buildig gas, tennat gas)</t>
  </si>
  <si>
    <t xml:space="preserve">Total Greenhouse Gas Emissions (GH1) </t>
  </si>
  <si>
    <r>
      <t>•</t>
    </r>
    <r>
      <rPr>
        <sz val="7"/>
        <color theme="1"/>
        <rFont val="Times New Roman"/>
        <family val="1"/>
      </rPr>
      <t xml:space="preserve">                     </t>
    </r>
    <r>
      <rPr>
        <sz val="11"/>
        <color theme="1"/>
        <rFont val="Aptos"/>
        <family val="2"/>
      </rPr>
      <t>Scope 1</t>
    </r>
  </si>
  <si>
    <t>tonnes CO2e</t>
  </si>
  <si>
    <r>
      <t>•</t>
    </r>
    <r>
      <rPr>
        <sz val="7"/>
        <color theme="1"/>
        <rFont val="Times New Roman"/>
        <family val="1"/>
      </rPr>
      <t xml:space="preserve">                     </t>
    </r>
    <r>
      <rPr>
        <sz val="11"/>
        <color theme="1"/>
        <rFont val="Aptos"/>
        <family val="2"/>
      </rPr>
      <t xml:space="preserve">Scope 2 Location-Based </t>
    </r>
  </si>
  <si>
    <r>
      <t>•</t>
    </r>
    <r>
      <rPr>
        <sz val="7"/>
        <color theme="1"/>
        <rFont val="Times New Roman"/>
        <family val="1"/>
      </rPr>
      <t xml:space="preserve">                     </t>
    </r>
    <r>
      <rPr>
        <sz val="11"/>
        <color theme="1"/>
        <rFont val="Aptos"/>
        <family val="2"/>
      </rPr>
      <t xml:space="preserve">Scope 3 </t>
    </r>
  </si>
  <si>
    <t xml:space="preserve">Total Water Consumption (WT1) </t>
  </si>
  <si>
    <t xml:space="preserve">Total Waste Production (WS1) </t>
  </si>
  <si>
    <r>
      <t>•</t>
    </r>
    <r>
      <rPr>
        <sz val="7"/>
        <color theme="1"/>
        <rFont val="Times New Roman"/>
        <family val="1"/>
      </rPr>
      <t xml:space="preserve">                     </t>
    </r>
    <r>
      <rPr>
        <sz val="11"/>
        <color theme="1"/>
        <rFont val="Aptos"/>
        <family val="2"/>
      </rPr>
      <t xml:space="preserve">Recycling </t>
    </r>
  </si>
  <si>
    <r>
      <t>•</t>
    </r>
    <r>
      <rPr>
        <sz val="7"/>
        <color theme="1"/>
        <rFont val="Times New Roman"/>
        <family val="1"/>
      </rPr>
      <t xml:space="preserve">                     </t>
    </r>
    <r>
      <rPr>
        <sz val="11"/>
        <color theme="1"/>
        <rFont val="Aptos"/>
        <family val="2"/>
      </rPr>
      <t>Waste to Energy</t>
    </r>
  </si>
  <si>
    <t>🏢 Electricity Landlord Totals by Building</t>
  </si>
  <si>
    <t>kg to tonnes</t>
  </si>
  <si>
    <t>Building name</t>
  </si>
  <si>
    <t>Total Actual + gap-filled consumption (kWh)</t>
  </si>
  <si>
    <t>Total Actual consumption (kWh)</t>
  </si>
  <si>
    <t>Total Gap-filled consumption (kWh)</t>
  </si>
  <si>
    <t>Total GHG emissions location-based (kgCO₂eq)</t>
  </si>
  <si>
    <t>Total Gap-filled GHG emissions location-based (kgCO₂eq)</t>
  </si>
  <si>
    <t>Total GHG emissions market-based residual mix (kgCO₂eq)</t>
  </si>
  <si>
    <t>Total Gap-filled GHG emissions market-based residual mix (kgCO₂eq)</t>
  </si>
  <si>
    <t>Total GHG emissions location-based (tonnes CO₂eq)</t>
  </si>
  <si>
    <t>Hannover Mills</t>
  </si>
  <si>
    <t>all managed office assets</t>
  </si>
  <si>
    <t xml:space="preserve">All managed office asset MINUS Central Quay </t>
  </si>
  <si>
    <t>GRESB landlord Elec Total</t>
  </si>
  <si>
    <t>Part of EN1 total</t>
  </si>
  <si>
    <t xml:space="preserve">SCOPE 3 CATEGORY 13 - OCCUPIER ELECTRICITY </t>
  </si>
  <si>
    <t>Month</t>
  </si>
  <si>
    <t>Actual + gap-filled consumption (energy) (kWh)</t>
  </si>
  <si>
    <t>Actual consumption (kWh)</t>
  </si>
  <si>
    <t>Gap-filled consumption (kWh)</t>
  </si>
  <si>
    <t>GRESB VALUES</t>
  </si>
  <si>
    <t>occupier</t>
  </si>
  <si>
    <t>landlord Occupier area</t>
  </si>
  <si>
    <t>1 Sir John Rogerson Quay</t>
  </si>
  <si>
    <t>🏢 Gas totals by Building - managed assets</t>
  </si>
  <si>
    <t>Avg emission factor (location-based)</t>
  </si>
  <si>
    <t>Total GHG gap-filled emissions (location-based) (kgCO₂eq)</t>
  </si>
  <si>
    <t>Total GHG emissions location-based (tonnesCO₂eq)</t>
  </si>
  <si>
    <t>Total scope 3 emissions intensity (cat 13)</t>
  </si>
  <si>
    <t>updated ALS</t>
  </si>
  <si>
    <t>OK</t>
  </si>
  <si>
    <t>All managed office assets</t>
  </si>
  <si>
    <t>Scope 1 emissions</t>
  </si>
  <si>
    <t xml:space="preserve">All managed offices MINUS central quay </t>
  </si>
  <si>
    <t>Total scope 2 emissions</t>
  </si>
  <si>
    <t xml:space="preserve">Taken from scope 3 inventory </t>
  </si>
  <si>
    <t>2025 Emissions</t>
  </si>
  <si>
    <t>Category</t>
  </si>
  <si>
    <t>Category Name</t>
  </si>
  <si>
    <t>Scope 3 Categories</t>
  </si>
  <si>
    <t>GHG emissions in 2025 (tCO2e)</t>
  </si>
  <si>
    <t>Cat 01</t>
  </si>
  <si>
    <t>Purchased goods and services</t>
  </si>
  <si>
    <t>Cat 01 - Purchased goods and services</t>
  </si>
  <si>
    <t>Cat 02</t>
  </si>
  <si>
    <t>Capital goods (or assets)</t>
  </si>
  <si>
    <t>Cat 02 - Capital goods (or assets)</t>
  </si>
  <si>
    <t>Cat 03</t>
  </si>
  <si>
    <t>Fuel and energy related activities (not included in scope 1 or scope 2)</t>
  </si>
  <si>
    <t>Cat 03 - Fuel and energy related activities (not included in scope 1 or scope 2)</t>
  </si>
  <si>
    <t>Cat 04</t>
  </si>
  <si>
    <t>Upstream transportation and distribution</t>
  </si>
  <si>
    <t>Cat 04 - Upstream transportation and distribution</t>
  </si>
  <si>
    <t>Cat 05</t>
  </si>
  <si>
    <t>Waste generated in operations</t>
  </si>
  <si>
    <t>Cat 05 - Waste generated in operations</t>
  </si>
  <si>
    <t>Cat 06</t>
  </si>
  <si>
    <t xml:space="preserve">Business travel </t>
  </si>
  <si>
    <t xml:space="preserve">Cat 06 - Business travel </t>
  </si>
  <si>
    <t>Cat 07</t>
  </si>
  <si>
    <t>Cat 07 - Employee commuting</t>
  </si>
  <si>
    <t>Cat 08</t>
  </si>
  <si>
    <t>Upstream leased assets</t>
  </si>
  <si>
    <t>Cat 08 - Upstream leased assets</t>
  </si>
  <si>
    <t xml:space="preserve">-   </t>
  </si>
  <si>
    <t>Cat 09</t>
  </si>
  <si>
    <t>Downstream transportation and distribution</t>
  </si>
  <si>
    <t>Cat 09 - Downstream transportation and distribution</t>
  </si>
  <si>
    <t>Cat 10</t>
  </si>
  <si>
    <t>Processing of sold products</t>
  </si>
  <si>
    <t>Cat 10 - Processing of sold products</t>
  </si>
  <si>
    <t>Cat 11</t>
  </si>
  <si>
    <t>Use of sold products</t>
  </si>
  <si>
    <t>Cat 11 - Use of sold products</t>
  </si>
  <si>
    <t>Cat 12</t>
  </si>
  <si>
    <t>End-of-life treatment of sold products</t>
  </si>
  <si>
    <t>Cat 12 - End-of-life treatment of sold products</t>
  </si>
  <si>
    <t>Cat 13</t>
  </si>
  <si>
    <t>Downstream leased assets</t>
  </si>
  <si>
    <t>Cat 13 - Downstream leased assets</t>
  </si>
  <si>
    <t>Cat 14</t>
  </si>
  <si>
    <t>Franchises</t>
  </si>
  <si>
    <t>Cat 14 - Franchises</t>
  </si>
  <si>
    <t>Cat 15</t>
  </si>
  <si>
    <t>Investments</t>
  </si>
  <si>
    <t>Cat 15 - Investments</t>
  </si>
  <si>
    <t>Operational Water</t>
  </si>
  <si>
    <t>TOTAL</t>
  </si>
  <si>
    <t>GRESB GHG SCOPE 3 CAT 13 from Deepki</t>
  </si>
  <si>
    <t>year</t>
  </si>
  <si>
    <t>Year</t>
  </si>
  <si>
    <t>Total GHG emissions - Scope 3 - Category 13 - location-based (kgCO₂eq)</t>
  </si>
  <si>
    <t>Total estimated GHG emissions - Scope 3 - Category 13 - location-based (kgCO₂eq)</t>
  </si>
  <si>
    <t>Tonnes CO2e</t>
  </si>
  <si>
    <t>Harcourt Square</t>
  </si>
  <si>
    <t/>
  </si>
  <si>
    <t xml:space="preserve"> 70.48499 </t>
  </si>
  <si>
    <t>20.626</t>
  </si>
  <si>
    <t>Clanwilliam</t>
  </si>
  <si>
    <t>kg CO2e</t>
  </si>
  <si>
    <t>Annual reporting</t>
  </si>
  <si>
    <t>Report Name:</t>
  </si>
  <si>
    <t>Preview</t>
  </si>
  <si>
    <t>Custom Report:</t>
  </si>
  <si>
    <t>Client:</t>
  </si>
  <si>
    <t>Hibernia Real Estate</t>
  </si>
  <si>
    <t>Level:</t>
  </si>
  <si>
    <t>Site</t>
  </si>
  <si>
    <t>Date Range:</t>
  </si>
  <si>
    <t>01/01/2024 to 31/12/2024</t>
  </si>
  <si>
    <t>CarbonMaps:</t>
  </si>
  <si>
    <t>Secondary: Location-based CarbonMap (Location-based), Primary: Market-based CarbonMap (Market-based)</t>
  </si>
  <si>
    <t>Source</t>
  </si>
  <si>
    <t>Site Name</t>
  </si>
  <si>
    <t>UOM</t>
  </si>
  <si>
    <t>Usage:</t>
  </si>
  <si>
    <t>Total Cost (EUR)</t>
  </si>
  <si>
    <t>Site Reference number</t>
  </si>
  <si>
    <t>Total CO2e Emissions (Primary) (mtons CO2-e)</t>
  </si>
  <si>
    <t>Total CO2e Emissions (Secondary) (mtons CO2-e)</t>
  </si>
  <si>
    <t>Natural Gas - Whole Building</t>
  </si>
  <si>
    <t>Scope 1</t>
  </si>
  <si>
    <t>Electric Power - Shared Services</t>
  </si>
  <si>
    <t>Scope 2</t>
  </si>
  <si>
    <t>Renewable Power - Offsite</t>
  </si>
  <si>
    <t>Non-Hazardous Waste - Recycling</t>
  </si>
  <si>
    <t>metric tons</t>
  </si>
  <si>
    <t>Non-Hazardous Waste-to-Energy</t>
  </si>
  <si>
    <t>Renewable Power - Offsite - Tenant</t>
  </si>
  <si>
    <t>Electric Power - Tenant Space (Tenant Control)</t>
  </si>
  <si>
    <t>Electric Power - Upstream T&amp;D Loss</t>
  </si>
  <si>
    <t>Non-Hazardous Waste - Compost</t>
  </si>
  <si>
    <t>WTT - Electric Power</t>
  </si>
  <si>
    <t>WTT - Natural gas</t>
  </si>
  <si>
    <t>Electric Power - Whole Building (Tenant Control)</t>
  </si>
  <si>
    <t>Natural Gas - Whole Building (Tenant Control)</t>
  </si>
  <si>
    <t>Cumberland - Block 1</t>
  </si>
  <si>
    <t>Cumberland - Block 2</t>
  </si>
  <si>
    <t>Newlands (Gateway)</t>
  </si>
  <si>
    <t>Sir John Rogerson's Quay</t>
  </si>
  <si>
    <t>Scope 1 total</t>
  </si>
  <si>
    <t>Scope 2 Location</t>
  </si>
  <si>
    <t>Scope 2 Market</t>
  </si>
  <si>
    <t>Scope 3 Location - Electric Power - Tenant Space (Tenant Control)</t>
  </si>
  <si>
    <t>Scope 3 Location - Electric Power - Whole Building (Tenant Control)</t>
  </si>
  <si>
    <t>Scope 3 Location - Natural Gas - Whole Building (Tenant Control)</t>
  </si>
  <si>
    <t>Total Scope 3</t>
  </si>
  <si>
    <t>: No Data This Period</t>
  </si>
  <si>
    <t>: Invoice Data</t>
  </si>
  <si>
    <t>: Locked for Data Entry</t>
  </si>
  <si>
    <t>: Requires Additional Permission</t>
  </si>
  <si>
    <t>: Contains Estimated Data</t>
  </si>
  <si>
    <t>X</t>
  </si>
  <si>
    <t>: Estimated &amp; Locked</t>
  </si>
  <si>
    <t>Office/resi</t>
  </si>
  <si>
    <t>Type</t>
  </si>
  <si>
    <t>UOM:</t>
  </si>
  <si>
    <t>Jan-24</t>
  </si>
  <si>
    <t>Feb-24</t>
  </si>
  <si>
    <t>Mar-24</t>
  </si>
  <si>
    <t>Apr-24</t>
  </si>
  <si>
    <t>May-24</t>
  </si>
  <si>
    <t>Jun-24</t>
  </si>
  <si>
    <t>Jul-24</t>
  </si>
  <si>
    <t>Aug-24</t>
  </si>
  <si>
    <t>Sep-24</t>
  </si>
  <si>
    <t>Oct-24</t>
  </si>
  <si>
    <t>Nov-24</t>
  </si>
  <si>
    <t>Dec-24</t>
  </si>
  <si>
    <t>2024 Total</t>
  </si>
  <si>
    <t>2023 Total</t>
  </si>
  <si>
    <t>Water - Landlord</t>
  </si>
  <si>
    <t>Volume</t>
  </si>
  <si>
    <t>m^3</t>
  </si>
  <si>
    <t>1 Windmill Lane reused</t>
  </si>
  <si>
    <t>Water - Reused</t>
  </si>
  <si>
    <t>Head Office</t>
  </si>
  <si>
    <t>5.1% of 1WML</t>
  </si>
  <si>
    <t>Water - Tenant</t>
  </si>
  <si>
    <t>38 St Johns Gate</t>
  </si>
  <si>
    <t>Cumberland - Block 2 - Reused</t>
  </si>
  <si>
    <t>Mixed</t>
  </si>
  <si>
    <t>Data Entry Bulk Upload- CU-SITE</t>
  </si>
  <si>
    <t>Date Display: CY 2023</t>
  </si>
  <si>
    <t>2024 waste %</t>
  </si>
  <si>
    <t>Compost</t>
  </si>
  <si>
    <t>Waste - Recycled</t>
  </si>
  <si>
    <t>Hibernia head office waste (5.1% of 1WML)</t>
  </si>
  <si>
    <t>Non-Haz Waste - Mixed Waste to waste to energy</t>
  </si>
  <si>
    <t>Restated 2023</t>
  </si>
  <si>
    <t xml:space="preserve">Waste - recycled </t>
  </si>
  <si>
    <t>Waste all assets</t>
  </si>
  <si>
    <t>Waste minus Gateway</t>
  </si>
  <si>
    <t>2024 reported waste</t>
  </si>
  <si>
    <t>waste like-like</t>
  </si>
  <si>
    <t>Total Total kWh (Actual+Gap) Occupier data</t>
  </si>
  <si>
    <t xml:space="preserve">Occupier renewable Elec </t>
  </si>
  <si>
    <t xml:space="preserve">Total Actual + gap-filled consumption (kWh) Landlord </t>
  </si>
  <si>
    <t>Landlord renewable Elec</t>
  </si>
  <si>
    <t>Total Elec (Occupier &amp; landlord) kWh</t>
  </si>
  <si>
    <t>127858.992</t>
  </si>
  <si>
    <t>Non-managed</t>
  </si>
  <si>
    <t>Estimated occupier elec</t>
  </si>
  <si>
    <t>Gap filled occupier cnsumption</t>
  </si>
  <si>
    <t>Portview</t>
  </si>
  <si>
    <t>297,569.00</t>
  </si>
  <si>
    <t>Wyckham (6 months only)</t>
  </si>
  <si>
    <t>Grand Total</t>
  </si>
  <si>
    <t>Meter name</t>
  </si>
  <si>
    <t>Utility</t>
  </si>
  <si>
    <t>1WML ground north occupier electricity</t>
  </si>
  <si>
    <t>Electricity</t>
  </si>
  <si>
    <t>2025-01-01</t>
  </si>
  <si>
    <t>2025-02-01</t>
  </si>
  <si>
    <t>2025-03-01</t>
  </si>
  <si>
    <t>2025-04-01</t>
  </si>
  <si>
    <t>2025-05-01</t>
  </si>
  <si>
    <t>2025-06-01</t>
  </si>
  <si>
    <t>2025-07-01</t>
  </si>
  <si>
    <t>2025-08-01</t>
  </si>
  <si>
    <t>2025-09-01</t>
  </si>
  <si>
    <t>2025-10-01</t>
  </si>
  <si>
    <t>2025-11-01</t>
  </si>
  <si>
    <t>2025-12-01</t>
  </si>
  <si>
    <t xml:space="preserve">2025 head office METER total </t>
  </si>
  <si>
    <t xml:space="preserve">2025 head office % of landlord </t>
  </si>
  <si>
    <t>Energy Self-Generation</t>
  </si>
  <si>
    <t>On-Site Generation</t>
  </si>
  <si>
    <t>Energy consumption from self-generation</t>
  </si>
  <si>
    <t>TOTAL Hibernia head office Elec</t>
  </si>
  <si>
    <t>Onsite generated renewable electricity</t>
  </si>
  <si>
    <t xml:space="preserve">total </t>
  </si>
  <si>
    <t xml:space="preserve">Central Quay </t>
  </si>
  <si>
    <t xml:space="preserve">Observatory </t>
  </si>
  <si>
    <t>Total Electricity</t>
  </si>
  <si>
    <t>Total elec (like-like)</t>
  </si>
  <si>
    <t>Central Quay sold March 2025</t>
  </si>
  <si>
    <t>Total renewable electricity offsite</t>
  </si>
  <si>
    <t>Renewable Power - Onsite</t>
  </si>
  <si>
    <t>Total renewable electricity onsite</t>
  </si>
  <si>
    <t xml:space="preserve">note 2025 onsite not included in electrciyt power - shared services above so added separately </t>
  </si>
  <si>
    <t>Total Elec (like-like)</t>
  </si>
  <si>
    <t>Date Display: 2024</t>
  </si>
  <si>
    <t>EUI</t>
  </si>
  <si>
    <t>1 Windmill Lane - Hibernia Head Office</t>
  </si>
  <si>
    <t>Natural Gas</t>
  </si>
  <si>
    <t>Other</t>
  </si>
  <si>
    <t>Natural Gas - Whole Building - Tenant Control</t>
  </si>
  <si>
    <t>2024 estimated using Hibernia 2024  gas EUI</t>
  </si>
  <si>
    <t xml:space="preserve">2024 estimated using BPG 2023 Gas EUI for residential assets </t>
  </si>
  <si>
    <t>Total energy from fuel</t>
  </si>
  <si>
    <t xml:space="preserve">BPG baseline year 2019 intensity </t>
  </si>
  <si>
    <t>The 2023 BPG level EUI for Natural Gas - Residential - European level is: 0.00162438 mmbtu/sqft/month which is 5.124256429 kwh/sqm/month.</t>
  </si>
  <si>
    <t xml:space="preserve">Hibernia 2024 Gas EUI all office types </t>
  </si>
  <si>
    <t xml:space="preserve">12months </t>
  </si>
  <si>
    <t xml:space="preserve">2024 estimated using 2024 EUI </t>
  </si>
  <si>
    <t xml:space="preserve">2024 estimated using BPG baseline EUI </t>
  </si>
  <si>
    <t>Dublin</t>
  </si>
  <si>
    <t>IRL</t>
  </si>
  <si>
    <t>Ireland</t>
  </si>
  <si>
    <t>Sq. m</t>
  </si>
  <si>
    <t>kWh / Sq. m / months</t>
  </si>
  <si>
    <t>Office: Corporate</t>
  </si>
  <si>
    <t>Office: Corporate: Mid-Rise Office</t>
  </si>
  <si>
    <t>average EUI</t>
  </si>
  <si>
    <t>🏢 Gas totals by Building - Landlord 2025</t>
  </si>
  <si>
    <t xml:space="preserve">Asset type </t>
  </si>
  <si>
    <t xml:space="preserve">Landlord - whole building </t>
  </si>
  <si>
    <t>Hibernia head office 5.1% of 1WML</t>
  </si>
  <si>
    <t>Occupier Gas</t>
  </si>
  <si>
    <t xml:space="preserve">Total fuel - all assets </t>
  </si>
  <si>
    <t>Total fuel - all assets (like-like)</t>
  </si>
  <si>
    <t>Total fuel - managed assets</t>
  </si>
  <si>
    <t>Total fuel - managed (like-like)</t>
  </si>
  <si>
    <t>Total fuel - managed residential</t>
  </si>
  <si>
    <t>Total fuel - Hibernia head office (5.1% 1WML)</t>
  </si>
  <si>
    <t>Estimated kWh</t>
  </si>
  <si>
    <t>Estimated %</t>
  </si>
  <si>
    <t>Gas for GRESB</t>
  </si>
  <si>
    <t xml:space="preserve">NO. OF MONTHS GAP FILLED </t>
  </si>
  <si>
    <t xml:space="preserve">GRESB TOTAL </t>
  </si>
  <si>
    <t>update in ALS</t>
  </si>
  <si>
    <t>Part of EN1</t>
  </si>
  <si>
    <t>Hibernia source</t>
  </si>
  <si>
    <t>Actual + gap-filled consumption (volume) (m³)</t>
  </si>
  <si>
    <t>Actual consumption (m³)</t>
  </si>
  <si>
    <t>Gap-filled consumption (m³)</t>
  </si>
  <si>
    <t>Active</t>
  </si>
  <si>
    <t>Needs estimation?</t>
  </si>
  <si>
    <t>Estimated consumption</t>
  </si>
  <si>
    <t>Total consumption (act+gap+est.)</t>
  </si>
  <si>
    <t>[Historical data]_Landlord_Electricity_HiberniaE0001</t>
  </si>
  <si>
    <t>[Historical data]_Landlord_Gas_HiberniaG0001</t>
  </si>
  <si>
    <t>Gas</t>
  </si>
  <si>
    <t>Landlord_Water_HiberniaW0001</t>
  </si>
  <si>
    <t>1WML Ground South occupier electricity</t>
  </si>
  <si>
    <t>1WML 1st &amp; 2nd occupier Electricity</t>
  </si>
  <si>
    <t>1WML 3rd occupier electricity</t>
  </si>
  <si>
    <t>1WML 4th occupier electricity</t>
  </si>
  <si>
    <t>1WML 5th occupier electricity</t>
  </si>
  <si>
    <t>1WML Retail unit electricity</t>
  </si>
  <si>
    <t>Hibernia0001_organic_waste</t>
  </si>
  <si>
    <t>Hibernia0001_dry_mixed_recycling</t>
  </si>
  <si>
    <t>Hibernia0001_commercial_and_industrial_waste</t>
  </si>
  <si>
    <t>[Historical data]_Landlord_Electricity_HiberniaE0004</t>
  </si>
  <si>
    <t>[Historical data]_Landlord_Gas_HiberniaG0002</t>
  </si>
  <si>
    <t>[Historical data]_Landlord_Water_HiberniaW0002</t>
  </si>
  <si>
    <t>2WML Gym occupier electricity</t>
  </si>
  <si>
    <t>2WML 1st occupier electricity</t>
  </si>
  <si>
    <t>2WML 2nd occupier electricity</t>
  </si>
  <si>
    <t>2WML 3rd occupier electricity</t>
  </si>
  <si>
    <t>2WML 4th occupier electricity</t>
  </si>
  <si>
    <t>2WML 5th occupier electricity</t>
  </si>
  <si>
    <t>Hibernia0002_organic_waste</t>
  </si>
  <si>
    <t>Hibernia0002_dry_mixed_recycling</t>
  </si>
  <si>
    <t>Hibernia0002_commercial_and_industrial_waste</t>
  </si>
  <si>
    <t>[Historical data]_Landlord_Electricity_HiberniaE0030</t>
  </si>
  <si>
    <t>[Historical data]_Landlord_Gas_HiberniaG0019</t>
  </si>
  <si>
    <t>[Historical data]_Landlord_Water_HiberniaW0019</t>
  </si>
  <si>
    <t>50 City Quay ground south Occupier electricity</t>
  </si>
  <si>
    <t>50 City Quay ground north Occupier electricity</t>
  </si>
  <si>
    <t>50 City Quay 1st Occupier electricity</t>
  </si>
  <si>
    <t>50 City Quay 2nd 3rd Occupier electricity</t>
  </si>
  <si>
    <t>[Historical data]_Landlord_Electricity_HiberniaE0011</t>
  </si>
  <si>
    <t>[Historical data]_Landlord_Gas_HiberniaG0006</t>
  </si>
  <si>
    <t>Landlord_Water_HiberniaW0006</t>
  </si>
  <si>
    <t>Hibernia0007_Twitter International Company</t>
  </si>
  <si>
    <t>Hibernia0007_Travelport 5th 6th</t>
  </si>
  <si>
    <t>Hibernia0007_organic_waste</t>
  </si>
  <si>
    <t>Hibernia0007_dry_mixed_recycling</t>
  </si>
  <si>
    <t>Hibernia0007_commercial_and_industrial_waste</t>
  </si>
  <si>
    <t>[Historical data]_Landlord_Electricity_HiberniaE0032</t>
  </si>
  <si>
    <t>[Historical data]_Landlord_Gas_HiberniaG0020</t>
  </si>
  <si>
    <t>[Historical data]_Landlord_Water_HiberniaW0020</t>
  </si>
  <si>
    <t>2CP lower ground Occupier electricity</t>
  </si>
  <si>
    <t>2CP Ground occupier electricity</t>
  </si>
  <si>
    <t>2CP 1st Occupier electricity</t>
  </si>
  <si>
    <t>2CP 2nd Occupier electricity</t>
  </si>
  <si>
    <t>2CP 3rd Occupier electricity</t>
  </si>
  <si>
    <t>2CP 4th 5th 6th Occupier electricity</t>
  </si>
  <si>
    <t>2CP Cafe occupier electricity</t>
  </si>
  <si>
    <t>Hibernia0008_organic_waste</t>
  </si>
  <si>
    <t>Hibernia0008_dry_mixed_recycling</t>
  </si>
  <si>
    <t>Hibernia0008_commercial_and_industrial_waste</t>
  </si>
  <si>
    <t>[Historical data]_Landlord_Electricity_HiberniaE0013</t>
  </si>
  <si>
    <t>[Historical data]_Tenant_electricity_HiberniaE0014</t>
  </si>
  <si>
    <t>[Historical data]_Tenant_Gas_HiberniaG0008</t>
  </si>
  <si>
    <t>Hibernia0009_organic_waste</t>
  </si>
  <si>
    <t>Hibernia0009_dry_mixed_recycling</t>
  </si>
  <si>
    <t>Hibernia0009_commercial_and_industrial_waste</t>
  </si>
  <si>
    <t>[Historical data]_Tenant_Electricity_HiberniaE0015</t>
  </si>
  <si>
    <t>[Historical data]_Tenant_Gas_HiberniaG0009</t>
  </si>
  <si>
    <t>Hibernia0010_organic_waste</t>
  </si>
  <si>
    <t>Hibernia0010_dry_mixed_recycling</t>
  </si>
  <si>
    <t>Hibernia0010_commercial_and_industrial_waste</t>
  </si>
  <si>
    <t>[Historical data]_Landlord_Electricity_HiberniaE0016</t>
  </si>
  <si>
    <t>[Historical data]_Landlord_Gas_HiberniaG0010</t>
  </si>
  <si>
    <t>[Historical data]_Landlord_Water_HiberniaW0010</t>
  </si>
  <si>
    <t>Hardwicke ground 1st 2nd 3rd Occupier electricity</t>
  </si>
  <si>
    <t>Hardwicke 4th occupier electricity</t>
  </si>
  <si>
    <t>Hardwicke 5th Occupier electricity</t>
  </si>
  <si>
    <t>Hibernia0011_organic_waste</t>
  </si>
  <si>
    <t>Hibernia0011_dry_mixed_recycling</t>
  </si>
  <si>
    <t>Hibernia0011_commercial_and_industrial_waste</t>
  </si>
  <si>
    <t>[Historical data]_Landlord_Electricity_HiberniaE0018</t>
  </si>
  <si>
    <t>[Historical data]_Landlord_Gas_HiberniaG0011</t>
  </si>
  <si>
    <t>[Historical data]_Landlord_Water_HiberniaW0011</t>
  </si>
  <si>
    <t>Hibernia0012_organic_waste</t>
  </si>
  <si>
    <t>Hibernia0012_dry_mixed_recycling</t>
  </si>
  <si>
    <t>Hibernia0012_commercial_and_industrial_waste</t>
  </si>
  <si>
    <t>Montague 4th 5th Occupier electricity</t>
  </si>
  <si>
    <t>Montague 1st 2nd 3rd vacant electricity</t>
  </si>
  <si>
    <t>Hibernia ground vacant electricity</t>
  </si>
  <si>
    <t>Tenant_Electricity_HiberniaE0020</t>
  </si>
  <si>
    <t>[Historical data]_Tenant_Gas_HiberniaG0012</t>
  </si>
  <si>
    <t>Hibernia0013_dry_mixed_recycling</t>
  </si>
  <si>
    <t>[Historical data]_Landlord_Electricity_HiberniaE0021</t>
  </si>
  <si>
    <t>[Historical data]_Landlord_Water_HiberniaW0012</t>
  </si>
  <si>
    <t>The Observatory ground west occupier electricity</t>
  </si>
  <si>
    <t>The Observatory ground rear, 1st, 2nd West Occupier electricity</t>
  </si>
  <si>
    <t>The Observatory 3rd Occupier electricity</t>
  </si>
  <si>
    <t>The Observatory 2nd East Occupier Electricity</t>
  </si>
  <si>
    <t>The Observatory 4th occupier electricity</t>
  </si>
  <si>
    <t>The Observatory 5th Occupier Electricity</t>
  </si>
  <si>
    <t>Hibernia0014_organic_waste</t>
  </si>
  <si>
    <t>Hibernia0014_dry_mixed_recycling</t>
  </si>
  <si>
    <t>Hibernia0014_commercial_and_industrial_waste</t>
  </si>
  <si>
    <t>[Historical data]_Landlord_Gas_HiberniaG0013_Substitute</t>
  </si>
  <si>
    <t>[Historical data]_Tenant_Electricity_HiberniaE0023</t>
  </si>
  <si>
    <t>Hibernia0016_organic_waste</t>
  </si>
  <si>
    <t>Hibernia0016_dry_mixed_recycling</t>
  </si>
  <si>
    <t>Hibernia0016_commercial_and_industrial_waste</t>
  </si>
  <si>
    <t>[Historical data]_Landlord_Electricity_HiberniaE0024</t>
  </si>
  <si>
    <t>[Historical data]_Tenant_Water_HiberniaW0014</t>
  </si>
  <si>
    <t>[Historical_Data]_Tenant_electricity_HiberniaE0034</t>
  </si>
  <si>
    <t>Hibernia0017_dry_mixed_recycling</t>
  </si>
  <si>
    <t>Hibernia0017_commercial_and_industrial_waste</t>
  </si>
  <si>
    <t>Gas_HiberniaG0015</t>
  </si>
  <si>
    <t>Tenant_Water_HiberniaW0015</t>
  </si>
  <si>
    <t>Hibernia0018_Hubspot whole building Elec</t>
  </si>
  <si>
    <t>Hibernia0018_organic_waste</t>
  </si>
  <si>
    <t>Hibernia0018_dry_mixed_recycling</t>
  </si>
  <si>
    <t>Hibernia0018_commercial_and_industrial_waste</t>
  </si>
  <si>
    <t>Hibernia0018_1SJRQ_Cafe Electricity</t>
  </si>
  <si>
    <t>Hibernia0018_Greenroom Elec</t>
  </si>
  <si>
    <t>Hibernia0018_1SJRQ Pub_Dockers</t>
  </si>
  <si>
    <t>Hibernia0018_1SJRQ Physio unit Elec</t>
  </si>
  <si>
    <t>[Historical data]_Tenant_Electricity_HiberniaE0026</t>
  </si>
  <si>
    <t>[Historical data]_Tenant_Gas_HiberniaG0016</t>
  </si>
  <si>
    <t>[Historical data]_Tenant_Electricity_HiberniaE0027</t>
  </si>
  <si>
    <t>[Historical data]_Tenant_Gas_HiberniaG0017</t>
  </si>
  <si>
    <t>[Historical data]_Landlord_Water_HiberniaW0017</t>
  </si>
  <si>
    <t>[Historical data]_Tenant_Electricity_HiberniaE0028</t>
  </si>
  <si>
    <t>[Historical data]_Landlord_Electricity_HiberniaE0029</t>
  </si>
  <si>
    <t>[Historical data]_Tenant_Gas_HiberniaG0018</t>
  </si>
  <si>
    <t>Hibernia0023_organic_waste</t>
  </si>
  <si>
    <t>Hibernia0023_dry_mixed_recycling</t>
  </si>
  <si>
    <t>Hibernia0023_commercial_and_industrial_waste</t>
  </si>
  <si>
    <t>[Historical data]_Tenant_Electricity_HiberniaE0008</t>
  </si>
  <si>
    <t>[Historical data]_Landlord_Electricity_HiberniaE0009</t>
  </si>
  <si>
    <t>[Historical data]_Landlord_Gas_HiberniaG0005</t>
  </si>
  <si>
    <t>[Historical data]_Landlord_Water_HiberniaW0005</t>
  </si>
  <si>
    <t>Hibernia0006_organic_waste</t>
  </si>
  <si>
    <t>Hibernia0006_dry_mixed_recycling</t>
  </si>
  <si>
    <t>Hibernia0006_commercial_and_industrial_waste</t>
  </si>
  <si>
    <t>Details for Sum of Actual + gap-filled consumption (volume) (m³) - Building name: 2 Cumberland Place</t>
  </si>
  <si>
    <t>GIA M2</t>
  </si>
  <si>
    <t>Total Actual + gap-filled consumption (kWh) Gas</t>
  </si>
  <si>
    <t>Asset EUI</t>
  </si>
  <si>
    <t>EUI Target</t>
  </si>
  <si>
    <t>Sum of Actual + gap-filled consumption (volume) (m³)</t>
  </si>
  <si>
    <t>Column Labels</t>
  </si>
  <si>
    <t>Row Labels</t>
  </si>
  <si>
    <t>Has elec data but not water (needs estimation?):</t>
  </si>
  <si>
    <t>Fully estimated</t>
  </si>
  <si>
    <t>Gap Filled</t>
  </si>
  <si>
    <t>Zero value confirmed</t>
  </si>
  <si>
    <t>Estimated using other average months as greater than 6 months of data available</t>
  </si>
  <si>
    <t>Confirm if Central Quay closed from April 2025? If not, used last years value as less than 6 months of 2025 data</t>
  </si>
  <si>
    <t>No data, used last years values</t>
  </si>
  <si>
    <t>Not estimated last year. Have used average water intensity of portfolio as benchmark (no industrial assets to compare to)</t>
  </si>
  <si>
    <t>Gateway Estimation</t>
  </si>
  <si>
    <t>Asset area</t>
  </si>
  <si>
    <t>Total water 2025</t>
  </si>
  <si>
    <t>Total water 2024</t>
  </si>
  <si>
    <t>GIA (m2)</t>
  </si>
  <si>
    <t>Water Consp. (m3)</t>
  </si>
  <si>
    <t>Water intensity (m3/m2)</t>
  </si>
  <si>
    <t xml:space="preserve">Water - all assets </t>
  </si>
  <si>
    <t>Water - managed assets</t>
  </si>
  <si>
    <t>Water - head office</t>
  </si>
  <si>
    <t>Estimated water ALL</t>
  </si>
  <si>
    <t>Estimated water %</t>
  </si>
  <si>
    <t>Estimated landlord water</t>
  </si>
  <si>
    <t xml:space="preserve">GRESB Water </t>
  </si>
  <si>
    <t>Rental Income 2025</t>
  </si>
  <si>
    <t>Value 2025</t>
  </si>
  <si>
    <t>Value 2026</t>
  </si>
  <si>
    <t>No. of units (Resi only)</t>
  </si>
  <si>
    <t xml:space="preserve">Community engagement programme </t>
  </si>
  <si>
    <t>Column3</t>
  </si>
  <si>
    <t>Column4</t>
  </si>
  <si>
    <t>Column5</t>
  </si>
  <si>
    <t>YES Count</t>
  </si>
  <si>
    <t>No count</t>
  </si>
  <si>
    <t>Total (in portfolio end Dec 2025)</t>
  </si>
  <si>
    <t>Residential %</t>
  </si>
  <si>
    <t>Total no. Resi units (managed)</t>
  </si>
  <si>
    <t>📅 Monthly Waste Summary (by Building &amp; Waste Type)</t>
  </si>
  <si>
    <t>01-Jan</t>
  </si>
  <si>
    <t>02-Feb</t>
  </si>
  <si>
    <t>03-Mar</t>
  </si>
  <si>
    <t>04-Apr</t>
  </si>
  <si>
    <t>05-May</t>
  </si>
  <si>
    <t>06-Jun</t>
  </si>
  <si>
    <t>07-Jul</t>
  </si>
  <si>
    <t>08-Aug</t>
  </si>
  <si>
    <t>09-Sep</t>
  </si>
  <si>
    <t>10-Oct</t>
  </si>
  <si>
    <t>11-Nov</t>
  </si>
  <si>
    <t>12-Dec</t>
  </si>
  <si>
    <t>Total Energy recovery (kg)</t>
  </si>
  <si>
    <t>Total Compost (kg)</t>
  </si>
  <si>
    <t>Total Recycling (kg)</t>
  </si>
  <si>
    <t>Total Total production (kg)</t>
  </si>
  <si>
    <t>TONS</t>
  </si>
  <si>
    <t>TO CONVERT TO EMISSIONS</t>
  </si>
  <si>
    <t>Energy recovery (kg)</t>
  </si>
  <si>
    <t>Compost (kg)</t>
  </si>
  <si>
    <t>Recycling (kg)</t>
  </si>
  <si>
    <t>Total production (kg)</t>
  </si>
  <si>
    <t xml:space="preserve">asset type </t>
  </si>
  <si>
    <t>Total Energy recovery (t)</t>
  </si>
  <si>
    <t>Total Compost (t)</t>
  </si>
  <si>
    <t>Total Recycling (t)</t>
  </si>
  <si>
    <t>Total tonnes</t>
  </si>
  <si>
    <t>kg</t>
  </si>
  <si>
    <t xml:space="preserve">Managed </t>
  </si>
  <si>
    <t>Dry Mixed Recyclables</t>
  </si>
  <si>
    <t>Food waste</t>
  </si>
  <si>
    <t>General Commercial waste</t>
  </si>
  <si>
    <t xml:space="preserve">Residential </t>
  </si>
  <si>
    <t>1 Sir John Rogersons Quay</t>
  </si>
  <si>
    <t>total tonnes all assets (incl Gateway)</t>
  </si>
  <si>
    <t>total tonnes all assets (excl Gateway)</t>
  </si>
  <si>
    <t>total all waste (like-like)</t>
  </si>
  <si>
    <t>total tonnes Managed assets</t>
  </si>
  <si>
    <t>Hibernia head office</t>
  </si>
  <si>
    <t>5.1% of full asset</t>
  </si>
  <si>
    <t>1 Sir John Rogserson Quay</t>
  </si>
  <si>
    <t xml:space="preserve">2024 Gateway waste to be restated </t>
  </si>
  <si>
    <t xml:space="preserve">Estimated managed asset waste </t>
  </si>
  <si>
    <t>Property Name</t>
  </si>
  <si>
    <t xml:space="preserve">No waste data for 2025 </t>
  </si>
  <si>
    <t>included in 1WML</t>
  </si>
  <si>
    <t xml:space="preserve">included in Observatory </t>
  </si>
  <si>
    <t xml:space="preserve">2024 estimated waste data </t>
  </si>
  <si>
    <t xml:space="preserve">EUI </t>
  </si>
  <si>
    <t xml:space="preserve">head office  </t>
  </si>
  <si>
    <t>Conversion Factor</t>
  </si>
  <si>
    <t>Raw Emission Factors</t>
  </si>
  <si>
    <t>source UOM</t>
  </si>
  <si>
    <t>emission UOM</t>
  </si>
  <si>
    <t>CO2</t>
  </si>
  <si>
    <t>CH4</t>
  </si>
  <si>
    <t>N2O</t>
  </si>
  <si>
    <t>usage</t>
  </si>
  <si>
    <t xml:space="preserve">kwh </t>
  </si>
  <si>
    <t>Electric Power</t>
  </si>
  <si>
    <t>grams</t>
  </si>
  <si>
    <t>IEA 2024 (2022) - Ireland</t>
  </si>
  <si>
    <t xml:space="preserve">EF </t>
  </si>
  <si>
    <t>g</t>
  </si>
  <si>
    <t>g of CO2e</t>
  </si>
  <si>
    <t>* 0.000001 to get metric tonnes CO2e</t>
  </si>
  <si>
    <t>GWP AR 6</t>
  </si>
  <si>
    <t>CH4 - Generic</t>
  </si>
  <si>
    <t>CH4 - Fossil</t>
  </si>
  <si>
    <t>CH4 - Non-Fossil</t>
  </si>
  <si>
    <t>Emission Factors with GWP</t>
  </si>
  <si>
    <t>CO2e</t>
  </si>
  <si>
    <t>Resource Advisor m^3 - kWh Conversion Factor</t>
  </si>
  <si>
    <t>Managed offices only</t>
  </si>
  <si>
    <t>adjusted using electricity equivalent for gas for NZC Pathway (x*0.4) taken from REEB 2019</t>
  </si>
  <si>
    <t>sqm GIA</t>
  </si>
  <si>
    <t>Landlord electricity</t>
  </si>
  <si>
    <t>Landlord gas</t>
  </si>
  <si>
    <t>Occupier electricity</t>
  </si>
  <si>
    <t>Energy-use-intensity</t>
  </si>
  <si>
    <t>Annual reduction</t>
  </si>
  <si>
    <t>Baseline reduction</t>
  </si>
  <si>
    <t>NZC EUI target - 2030</t>
  </si>
  <si>
    <t>Target reduction</t>
  </si>
  <si>
    <t>kWhe</t>
  </si>
  <si>
    <t>kWhe/m2/yr</t>
  </si>
  <si>
    <t>1WML Solar</t>
  </si>
  <si>
    <t>Observatory BER improvements</t>
  </si>
  <si>
    <r>
      <t>tCO</t>
    </r>
    <r>
      <rPr>
        <vertAlign val="subscript"/>
        <sz val="11"/>
        <color theme="1"/>
        <rFont val="Calibri"/>
        <family val="2"/>
        <scheme val="minor"/>
      </rPr>
      <t>2</t>
    </r>
  </si>
  <si>
    <t>Solar calculation</t>
  </si>
  <si>
    <t xml:space="preserve"> kWh per annum</t>
  </si>
  <si>
    <t>tonnes CO2/yr</t>
  </si>
  <si>
    <t>Supplier due diligence as requested by Brookfield includes for ABC screening criteria and all new suppliers now must meet these requirements. 
Main contractors (construction related and for property management (e.g. waste management and facilities management), when being tendered for include more detailed ESG criteria around sharing data and meeting regularly to discuss sustainability related opportunities. 
Details of calculation:
No of Active Suppliers: 452. See note 1 below.
Due Diligence Completed: 182. See note 2 below.
% of Suppliers with Due Diligence Completed: 40%
Notes:
The number of suppliers only includes “active” suppliers. Hibernia have circa 1000 suppliers listed on Accounts IQ with circa 550 now classified as inactive. During 2024, Hibernia completed an exercise to mark suppliers inactive if there had been no activity with this supplier over the last 3 years. It is therefore highly unlikely that ABC reviews were completed on any inactive supplier given that this time period was pre-Brookfield.
Due Diligence Completed includes:
Suppliers where DD has been completed.
Suppliers that were considered and then exempted from the DD process. I believe this is the correct approach as they were exempted due to low ABC risk.
An estimate of circa 50 suppliers where DD was completed or where the supplier was exempted in 2022 and early 2023.</t>
  </si>
  <si>
    <t>Description</t>
  </si>
  <si>
    <t>Staff involved</t>
  </si>
  <si>
    <t>Frequency</t>
  </si>
  <si>
    <t>The Green Room sessions</t>
  </si>
  <si>
    <t>Any</t>
  </si>
  <si>
    <t>Ongoing</t>
  </si>
  <si>
    <t>The Green Room provides fitness activities to Hibernia and Occupier, including Yoga, workshops and Self defense classes</t>
  </si>
  <si>
    <t>WMQ Townhall</t>
  </si>
  <si>
    <t xml:space="preserve">Staff can attend any of the social events that take place in the Townhall for occupiers during the year. Includes Wine Down Thursday, drinks tastings, Windmill Live gigs and other ad hoc events. 
Financial wellbeing also considered with one-2-one advice with mortgage and savings advisors. </t>
  </si>
  <si>
    <t>All Hands Calls</t>
  </si>
  <si>
    <t>Bi-weekly call</t>
  </si>
  <si>
    <t>All staff expected to attend bi-weekly 30min call for update on each department, announcements of birthdays etc.</t>
  </si>
  <si>
    <t>Sports and Social Committee (various)</t>
  </si>
  <si>
    <t>The committee runs events for all staff throughout the year, including quizes, barbecues, away day in Cooking school. A&amp;L 5km run, movement and Wellbeing Challenge,Movember, Pride brunch, international womens day event</t>
  </si>
  <si>
    <t>CPD sessions</t>
  </si>
  <si>
    <t>CPD sessions are run on variuous topics and are open for all staff to attend</t>
  </si>
  <si>
    <t>Healthy transport</t>
  </si>
  <si>
    <t>Staff have access to showers, changing areas, lockers and bike storage so they can walk, run, cycle or scoot to work and exercvise during the working day.</t>
  </si>
  <si>
    <t>Healthy Food</t>
  </si>
  <si>
    <t>Fruit is provided daily in the staff canteen - all now organic fruit from 2024. Lunchtime CPDs include lunch from local health cafes</t>
  </si>
  <si>
    <t>Sustainability Strategy</t>
  </si>
  <si>
    <t>The sustainability strategy was updated in 2025 with goals set out to 2030 under the pillar "Create long-term positive social impact through our operations"</t>
  </si>
  <si>
    <t>Block leave</t>
  </si>
  <si>
    <t>Annually</t>
  </si>
  <si>
    <t xml:space="preserve">The mandatory, 2 week block leave, policy that was introduced in 2021 applies again in 2025 for all staff to ensure everyone takes adequate time away from work at some point in the year. </t>
  </si>
  <si>
    <t>Volunteering</t>
  </si>
  <si>
    <t>All staff can partake in variouous volunteering opportunities with our community and charity partners including a workshop for the Breakthrough project, ULI Urban Plan programme, The Together Academy and the work experience programme. Employees are also encouraged to donate to the Hygiene Hub collection and the Christmas Focus Ireland Collection.</t>
  </si>
  <si>
    <t xml:space="preserve">Momentum Games </t>
  </si>
  <si>
    <t xml:space="preserve">Hibernia are a key sponsor of the Momentum Games raising money for Dublin Simon (previously Dragons at the Docks). Th event ook place in the WMQ Townhall where 10 team members took part in the competition and training sessions in the lead up. </t>
  </si>
  <si>
    <t>Riley period care products</t>
  </si>
  <si>
    <t>Hibernia introduced Riley sustainable period care products into all shared female bathrooms in each managed office building</t>
  </si>
  <si>
    <t>This information is a copy of EHS Records Health and Wellness Initiatives</t>
  </si>
  <si>
    <t xml:space="preserve">No. of initatives </t>
  </si>
  <si>
    <t>Event(s) Yes/No</t>
  </si>
  <si>
    <t>The committee runs events for all staff throughout the year, including quizes, barbecues, away day in Howth Castle etc. A&amp;L 5km run, movement and Wellbeing Challenge,Movember, Pride brunch.</t>
  </si>
  <si>
    <t>Fruit is provided daily in the staff canteen - all now organic fruit from 2024.</t>
  </si>
  <si>
    <t>The sustainability strategy was updated in 2021 and employee health and wellbeing now falls under the pillar "Create long-term positive social impact through our operations"</t>
  </si>
  <si>
    <t xml:space="preserve">The mandatory, 2 week block leave, policy that was introduced in 2021 applies again in 2024 for all staff to ensure everyone takes adequate time away from work at some point in the year. </t>
  </si>
  <si>
    <t>All staff asked to partake in Docklands Business Forum Volunteer Day - 16th May 2024</t>
  </si>
  <si>
    <t>Dragons at the Docks</t>
  </si>
  <si>
    <t xml:space="preserve">Hibernia are a key sponsor of DATD annually and a team of 10 employees take part in the race, training for 2 months in advance in the gym and on boats on the water. </t>
  </si>
  <si>
    <t>Inclusion Training</t>
  </si>
  <si>
    <t>Once-Off</t>
  </si>
  <si>
    <t xml:space="preserve">Our charity partner, the Together Academy, presented to all staff on the importance of inclusion within the workplace and how the company and staff can make a difference.  </t>
  </si>
  <si>
    <t>Employee Assistance Programme</t>
  </si>
  <si>
    <t>Hibernia introduced a Employee Assistance Program in 2024 for all staff to avail of on a voluntary basis. The program is designed to provide confidential support and resources to help staff manage personal and professional challenges. There is an app associated with the program.</t>
  </si>
  <si>
    <t xml:space="preserve">Hibernia introduced Riley sustainable period care products into all shared female bathrooms in each managed office building in 2024. </t>
  </si>
  <si>
    <t>This information is a copy of EHS Records Health and Welness Initiatives</t>
  </si>
  <si>
    <t xml:space="preserve">GRESB Metrics </t>
  </si>
  <si>
    <t xml:space="preserve">Unit </t>
  </si>
  <si>
    <t>Total energy (kWh)</t>
  </si>
  <si>
    <t xml:space="preserve">GRESB ESTIMATIONS </t>
  </si>
  <si>
    <t>Total water (m3)</t>
  </si>
  <si>
    <t xml:space="preserve">3 MONTHS IN ANY ONE YEAR TO GAP FILL </t>
  </si>
  <si>
    <t>Total waste (tonnes)</t>
  </si>
  <si>
    <t xml:space="preserve">IF NO DATA AVAILABLE IN YEAR NO ESTIMATION ALLOWED </t>
  </si>
  <si>
    <t>Total GHG emissions (tCO2e)</t>
  </si>
  <si>
    <t>tCO2e</t>
  </si>
  <si>
    <t xml:space="preserve">Assets </t>
  </si>
  <si>
    <t xml:space="preserve">Electricity </t>
  </si>
  <si>
    <t xml:space="preserve">GRESB Total </t>
  </si>
  <si>
    <t>GRESB Total elec kWh</t>
  </si>
  <si>
    <t xml:space="preserve">Gas </t>
  </si>
  <si>
    <t>GRESB Total Gas kWh</t>
  </si>
  <si>
    <t>TOTAL GRESB WATER M3</t>
  </si>
  <si>
    <t xml:space="preserve">includes 3 months estimated </t>
  </si>
  <si>
    <t xml:space="preserve">GRESB total compost </t>
  </si>
  <si>
    <t>GRESB total recycled</t>
  </si>
  <si>
    <t xml:space="preserve">GRESB total mixed waste to energy </t>
  </si>
  <si>
    <t xml:space="preserve">GRESB Total waste (tonnes) </t>
  </si>
  <si>
    <t xml:space="preserve">scope 1 </t>
  </si>
  <si>
    <t>scope 2 (location/secondary)</t>
  </si>
  <si>
    <t xml:space="preserve">scope 3 - tenant emissions </t>
  </si>
  <si>
    <t xml:space="preserve">GRESB </t>
  </si>
  <si>
    <t xml:space="preserve">Yes </t>
  </si>
  <si>
    <t xml:space="preserve">No </t>
  </si>
  <si>
    <r>
      <t>From onsite renewable sources</t>
    </r>
    <r>
      <rPr>
        <vertAlign val="superscript"/>
        <sz val="12"/>
        <color rgb="FF000000"/>
        <rFont val="Aptos Narrow"/>
        <family val="2"/>
      </rPr>
      <t>A</t>
    </r>
  </si>
  <si>
    <r>
      <t>LEED BD+C (Core and Shell)</t>
    </r>
    <r>
      <rPr>
        <b/>
        <vertAlign val="superscript"/>
        <sz val="12"/>
        <color theme="0"/>
        <rFont val="Calibri"/>
        <family val="2"/>
        <scheme val="minor"/>
      </rPr>
      <t>A</t>
    </r>
  </si>
  <si>
    <r>
      <t>LEED O+M (Operations and Maintenance)</t>
    </r>
    <r>
      <rPr>
        <b/>
        <vertAlign val="superscript"/>
        <sz val="12"/>
        <color theme="0"/>
        <rFont val="Calibri"/>
        <family val="2"/>
        <scheme val="minor"/>
      </rPr>
      <t>A</t>
    </r>
  </si>
  <si>
    <r>
      <t>WELL Health Safety Rating</t>
    </r>
    <r>
      <rPr>
        <b/>
        <vertAlign val="superscript"/>
        <sz val="12"/>
        <color theme="0"/>
        <rFont val="Calibri"/>
        <family val="2"/>
        <scheme val="minor"/>
      </rPr>
      <t>A</t>
    </r>
  </si>
  <si>
    <r>
      <t>BER % – by value</t>
    </r>
    <r>
      <rPr>
        <b/>
        <vertAlign val="superscript"/>
        <sz val="12"/>
        <color theme="0"/>
        <rFont val="Calibri"/>
        <family val="2"/>
        <scheme val="minor"/>
      </rPr>
      <t>A</t>
    </r>
  </si>
  <si>
    <r>
      <t>BER % – by contracted rent</t>
    </r>
    <r>
      <rPr>
        <b/>
        <vertAlign val="superscript"/>
        <sz val="12"/>
        <color theme="0"/>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</si>
</sst>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quot;€&quot;#,##0;[Red]\-&quot;€&quot;#,##0"/>
    <numFmt numFmtId="165" formatCode="&quot;€&quot;#,##0.00;[Red]\-&quot;€&quot;#,##0.00"/>
    <numFmt numFmtId="166" formatCode="_-&quot;€&quot;* #,##0.00_-;\-&quot;€&quot;* #,##0.00_-;_-&quot;€&quot;* &quot;-&quot;??_-;_-@_-"/>
    <numFmt numFmtId="167" formatCode="_(* #,##0.00_);_(* \(#,##0.00\);_(* &quot;-&quot;??_);_(@_)"/>
    <numFmt numFmtId="168" formatCode="0.0%"/>
    <numFmt numFmtId="169" formatCode="0.0"/>
    <numFmt numFmtId="170" formatCode="_-[$€-1809]* #,##0_-;\-[$€-1809]* #,##0_-;_-[$€-1809]* &quot;-&quot;??_-;_-@_-"/>
    <numFmt numFmtId="171" formatCode="_-* #,##0_-;\-* #,##0_-;_-* &quot;-&quot;??_-;_-@_-"/>
    <numFmt numFmtId="172" formatCode="[=0]0;###,###.000"/>
    <numFmt numFmtId="173" formatCode="0.000"/>
    <numFmt numFmtId="174" formatCode="##,##0.000"/>
    <numFmt numFmtId="175" formatCode="_-* #,##0.000_-;\-* #,##0.000_-;_-* &quot;-&quot;??_-;_-@_-"/>
    <numFmt numFmtId="176" formatCode="0.000000000"/>
    <numFmt numFmtId="177" formatCode="&quot;€&quot;#,##0.00"/>
    <numFmt numFmtId="178" formatCode="&quot;€&quot;#,##0"/>
    <numFmt numFmtId="179" formatCode="0;\(0\)"/>
    <numFmt numFmtId="180" formatCode="0.00000"/>
    <numFmt numFmtId="181" formatCode="_(* #,##0_);_(* \(#,##0\);_(* &quot;-&quot;???_);_(@_)"/>
    <numFmt numFmtId="182" formatCode="_(* #,##0.00_);_(* \(#,##0.00\);_(* &quot;-&quot;???_);_(@_)"/>
  </numFmts>
  <fonts count="145" x14ac:knownFonts="1">
    <font>
      <sz val="11"/>
      <color theme="1"/>
      <name val="Calibri"/>
      <family val="2"/>
      <scheme val="minor"/>
    </font>
    <font>
      <sz val="11"/>
      <color theme="1"/>
      <name val="Calibri"/>
      <scheme val="minor"/>
    </font>
    <font>
      <sz val="11"/>
      <color theme="1"/>
      <name val="Calibri"/>
      <family val="2"/>
      <scheme val="minor"/>
    </font>
    <font>
      <sz val="8"/>
      <name val="Calibri"/>
      <family val="2"/>
      <scheme val="minor"/>
    </font>
    <font>
      <i/>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0"/>
      <name val="Arial"/>
      <family val="2"/>
    </font>
    <font>
      <b/>
      <i/>
      <sz val="11"/>
      <color theme="0"/>
      <name val="Arial"/>
      <family val="2"/>
    </font>
    <font>
      <sz val="9"/>
      <color theme="0"/>
      <name val="Arial"/>
      <family val="2"/>
    </font>
    <font>
      <sz val="10"/>
      <color rgb="FF000000"/>
      <name val="Arial"/>
      <family val="2"/>
    </font>
    <font>
      <sz val="11"/>
      <color rgb="FF000000"/>
      <name val="Calibri"/>
      <family val="2"/>
    </font>
    <font>
      <b/>
      <sz val="11"/>
      <color rgb="FF000000"/>
      <name val="Calibri"/>
      <family val="2"/>
    </font>
    <font>
      <b/>
      <sz val="12"/>
      <color rgb="FFFFFFFF"/>
      <name val="Calibri"/>
      <family val="2"/>
    </font>
    <font>
      <sz val="11"/>
      <color theme="1"/>
      <name val="Calibri"/>
      <family val="2"/>
    </font>
    <font>
      <b/>
      <sz val="16"/>
      <color theme="1"/>
      <name val="Calibri"/>
      <family val="2"/>
      <scheme val="minor"/>
    </font>
    <font>
      <b/>
      <sz val="24"/>
      <color theme="1"/>
      <name val="Calibri"/>
      <family val="2"/>
      <scheme val="minor"/>
    </font>
    <font>
      <b/>
      <u/>
      <sz val="11"/>
      <color theme="1"/>
      <name val="Calibri"/>
      <family val="2"/>
    </font>
    <font>
      <sz val="11"/>
      <name val="Calibri"/>
      <family val="2"/>
    </font>
    <font>
      <sz val="11"/>
      <name val="Calibri"/>
      <family val="2"/>
      <scheme val="minor"/>
    </font>
    <font>
      <sz val="11"/>
      <color rgb="FF000000"/>
      <name val="Calibri"/>
      <family val="2"/>
      <scheme val="minor"/>
    </font>
    <font>
      <vertAlign val="superscript"/>
      <sz val="11"/>
      <color rgb="FF000000"/>
      <name val="Calibri"/>
      <family val="2"/>
      <scheme val="minor"/>
    </font>
    <font>
      <vertAlign val="superscript"/>
      <sz val="11"/>
      <color theme="1"/>
      <name val="Calibri"/>
      <family val="2"/>
      <scheme val="minor"/>
    </font>
    <font>
      <vertAlign val="subscript"/>
      <sz val="11"/>
      <color theme="1"/>
      <name val="Calibri"/>
      <family val="2"/>
      <scheme val="minor"/>
    </font>
    <font>
      <b/>
      <sz val="12"/>
      <color rgb="FFFFFFFF"/>
      <name val="Calibri"/>
      <family val="2"/>
      <scheme val="minor"/>
    </font>
    <font>
      <vertAlign val="subscript"/>
      <sz val="11"/>
      <color rgb="FF000000"/>
      <name val="Calibri"/>
      <family val="2"/>
    </font>
    <font>
      <b/>
      <sz val="12"/>
      <color theme="1"/>
      <name val="Calibri"/>
      <family val="2"/>
      <scheme val="minor"/>
    </font>
    <font>
      <b/>
      <sz val="12"/>
      <color theme="0"/>
      <name val="Calibri"/>
      <family val="2"/>
      <scheme val="minor"/>
    </font>
    <font>
      <b/>
      <sz val="13"/>
      <color theme="3"/>
      <name val="Calibri"/>
      <family val="2"/>
      <scheme val="minor"/>
    </font>
    <font>
      <b/>
      <sz val="11"/>
      <color theme="3"/>
      <name val="Calibri"/>
      <family val="2"/>
      <scheme val="minor"/>
    </font>
    <font>
      <sz val="11"/>
      <color rgb="FF000000"/>
      <name val="Aptos Narrow"/>
      <family val="2"/>
    </font>
    <font>
      <sz val="11"/>
      <color theme="1"/>
      <name val="Calibri"/>
      <family val="2"/>
      <scheme val="minor"/>
    </font>
    <font>
      <b/>
      <sz val="10"/>
      <color theme="1"/>
      <name val="Calibri"/>
      <family val="2"/>
      <scheme val="minor"/>
    </font>
    <font>
      <sz val="10"/>
      <color theme="1"/>
      <name val="Calibri"/>
      <family val="2"/>
      <scheme val="minor"/>
    </font>
    <font>
      <b/>
      <sz val="10"/>
      <color rgb="FFFFFFFF"/>
      <name val="Calibri"/>
      <family val="2"/>
      <scheme val="minor"/>
    </font>
    <font>
      <sz val="11"/>
      <color rgb="FF000000"/>
      <name val="Calibri"/>
      <family val="2"/>
      <scheme val="minor"/>
    </font>
    <font>
      <sz val="9"/>
      <color rgb="FF000000"/>
      <name val="Aptos Narrow"/>
      <family val="2"/>
    </font>
    <font>
      <sz val="9"/>
      <color theme="1"/>
      <name val="Calibri"/>
      <family val="2"/>
      <scheme val="minor"/>
    </font>
    <font>
      <sz val="11"/>
      <color theme="10"/>
      <name val="Calibri"/>
      <family val="2"/>
      <scheme val="minor"/>
    </font>
    <font>
      <b/>
      <sz val="9"/>
      <color theme="1"/>
      <name val="Calibri"/>
      <family val="2"/>
      <scheme val="minor"/>
    </font>
    <font>
      <u/>
      <sz val="11"/>
      <color theme="1"/>
      <name val="Calibri"/>
      <family val="2"/>
      <scheme val="minor"/>
    </font>
    <font>
      <sz val="11"/>
      <color rgb="FFFFFFFF"/>
      <name val="Arial"/>
      <family val="2"/>
    </font>
    <font>
      <b/>
      <sz val="16"/>
      <color rgb="FF000000"/>
      <name val="Aptos Narrow"/>
      <family val="2"/>
    </font>
    <font>
      <b/>
      <sz val="12"/>
      <color rgb="FFFFFFFF"/>
      <name val="Aptos Narrow"/>
      <family val="2"/>
    </font>
    <font>
      <vertAlign val="superscript"/>
      <sz val="11"/>
      <color rgb="FF000000"/>
      <name val="Aptos Narrow"/>
      <family val="2"/>
    </font>
    <font>
      <sz val="10"/>
      <color rgb="FF000000"/>
      <name val="Calibri"/>
      <family val="2"/>
      <scheme val="minor"/>
    </font>
    <font>
      <b/>
      <sz val="11"/>
      <color theme="0"/>
      <name val="Calibri"/>
      <family val="2"/>
      <scheme val="minor"/>
    </font>
    <font>
      <sz val="9"/>
      <color rgb="FF000000"/>
      <name val="Arial"/>
      <family val="2"/>
    </font>
    <font>
      <u/>
      <sz val="10"/>
      <color rgb="FF000000"/>
      <name val="Arial"/>
      <family val="2"/>
    </font>
    <font>
      <sz val="9"/>
      <color rgb="FFFFFFFF"/>
      <name val="Arial"/>
      <family val="2"/>
    </font>
    <font>
      <i/>
      <sz val="9"/>
      <color rgb="FF444444"/>
      <name val="Calibri"/>
      <family val="2"/>
    </font>
    <font>
      <i/>
      <sz val="9"/>
      <color theme="1"/>
      <name val="Calibri"/>
      <family val="2"/>
      <scheme val="minor"/>
    </font>
    <font>
      <i/>
      <sz val="9"/>
      <color rgb="FF000000"/>
      <name val="Calibri"/>
      <family val="2"/>
    </font>
    <font>
      <sz val="11"/>
      <color theme="1" tint="4.9989318521683403E-2"/>
      <name val="Calibri"/>
      <family val="2"/>
      <scheme val="minor"/>
    </font>
    <font>
      <b/>
      <sz val="11"/>
      <color rgb="FFFFFFFF"/>
      <name val="Calibri"/>
      <family val="2"/>
      <scheme val="minor"/>
    </font>
    <font>
      <sz val="10"/>
      <color rgb="FFFF0000"/>
      <name val="Calibri"/>
      <family val="2"/>
      <scheme val="minor"/>
    </font>
    <font>
      <sz val="12"/>
      <color rgb="FF000000"/>
      <name val="Calibri"/>
      <family val="2"/>
      <charset val="1"/>
    </font>
    <font>
      <b/>
      <sz val="10"/>
      <color rgb="FF000000"/>
      <name val="Calibri"/>
      <family val="2"/>
      <scheme val="minor"/>
    </font>
    <font>
      <sz val="10"/>
      <color theme="1"/>
      <name val="Calibri"/>
      <scheme val="minor"/>
    </font>
    <font>
      <b/>
      <sz val="10"/>
      <color rgb="FFFFFFFF"/>
      <name val="Calibri"/>
      <scheme val="minor"/>
    </font>
    <font>
      <b/>
      <sz val="10"/>
      <color theme="1"/>
      <name val="Calibri"/>
      <scheme val="minor"/>
    </font>
    <font>
      <b/>
      <u val="double"/>
      <sz val="11"/>
      <color theme="1"/>
      <name val="Calibri"/>
      <family val="2"/>
      <scheme val="minor"/>
    </font>
    <font>
      <sz val="10"/>
      <color rgb="FFFF0000"/>
      <name val="Arial"/>
      <family val="2"/>
    </font>
    <font>
      <b/>
      <sz val="11"/>
      <name val="Calibri"/>
      <family val="2"/>
    </font>
    <font>
      <sz val="11"/>
      <color theme="0"/>
      <name val="Calibri"/>
      <family val="2"/>
      <scheme val="minor"/>
    </font>
    <font>
      <sz val="11"/>
      <color rgb="FF242424"/>
      <name val="Aptos Narrow"/>
      <charset val="1"/>
    </font>
    <font>
      <sz val="10"/>
      <color rgb="FF000000"/>
      <name val="Arial"/>
    </font>
    <font>
      <sz val="11"/>
      <color rgb="FF0D0D0D"/>
      <name val="Calibri"/>
      <family val="2"/>
    </font>
    <font>
      <vertAlign val="superscript"/>
      <sz val="11"/>
      <color rgb="FF000000"/>
      <name val="Calibri"/>
      <family val="2"/>
    </font>
    <font>
      <sz val="11"/>
      <color rgb="FF000000"/>
      <name val="Calibri"/>
    </font>
    <font>
      <sz val="11"/>
      <color rgb="FFFF0000"/>
      <name val="Calibri"/>
    </font>
    <font>
      <sz val="11"/>
      <color theme="1"/>
      <name val="Calibri"/>
    </font>
    <font>
      <sz val="11"/>
      <color rgb="FF000000"/>
      <name val="Calibri"/>
      <scheme val="minor"/>
    </font>
    <font>
      <b/>
      <u/>
      <sz val="11"/>
      <color rgb="FF000000"/>
      <name val="Calibri"/>
    </font>
    <font>
      <vertAlign val="superscript"/>
      <sz val="11"/>
      <color rgb="FF000000"/>
      <name val="Calibri"/>
      <scheme val="minor"/>
    </font>
    <font>
      <b/>
      <sz val="11"/>
      <color rgb="FF1F1F1F"/>
      <name val="Calibri"/>
      <family val="2"/>
      <scheme val="minor"/>
    </font>
    <font>
      <b/>
      <sz val="11"/>
      <color rgb="FF1F4E79"/>
      <name val="Calibri"/>
      <family val="2"/>
      <scheme val="minor"/>
    </font>
    <font>
      <b/>
      <sz val="9"/>
      <color indexed="81"/>
      <name val="Tahoma"/>
      <family val="2"/>
    </font>
    <font>
      <sz val="9"/>
      <color indexed="81"/>
      <name val="Tahoma"/>
      <family val="2"/>
    </font>
    <font>
      <b/>
      <i/>
      <sz val="9"/>
      <name val="Arial"/>
    </font>
    <font>
      <sz val="9"/>
      <name val="Arial"/>
    </font>
    <font>
      <b/>
      <sz val="11"/>
      <color rgb="FF104861"/>
      <name val="Aptos Narrow"/>
    </font>
    <font>
      <sz val="11"/>
      <color rgb="FF104861"/>
      <name val="Aptos Narrow"/>
    </font>
    <font>
      <b/>
      <sz val="10"/>
      <color rgb="FF000000"/>
      <name val="Segoe UI"/>
    </font>
    <font>
      <sz val="11"/>
      <name val="Calibri"/>
    </font>
    <font>
      <sz val="11"/>
      <color rgb="FF000000"/>
      <name val="Aptos Narrow"/>
    </font>
    <font>
      <b/>
      <sz val="10"/>
      <color rgb="FF000000"/>
      <name val="Arial"/>
    </font>
    <font>
      <b/>
      <sz val="11"/>
      <color rgb="FF000000"/>
      <name val="Aptos Narrow"/>
    </font>
    <font>
      <b/>
      <sz val="10"/>
      <color rgb="FF696969"/>
      <name val="Segoe UI"/>
    </font>
    <font>
      <sz val="9"/>
      <color rgb="FF000000"/>
      <name val="Arial"/>
    </font>
    <font>
      <b/>
      <sz val="11"/>
      <color rgb="FF000000"/>
      <name val="Calibri"/>
      <family val="2"/>
      <scheme val="minor"/>
    </font>
    <font>
      <sz val="11"/>
      <color rgb="FF0D0D0D"/>
      <name val="Calibri"/>
      <family val="2"/>
      <scheme val="minor"/>
    </font>
    <font>
      <sz val="11"/>
      <color rgb="FF000000"/>
      <name val="Calibri"/>
      <charset val="1"/>
    </font>
    <font>
      <sz val="16"/>
      <name val="Calibri"/>
      <family val="2"/>
      <scheme val="minor"/>
    </font>
    <font>
      <sz val="11"/>
      <color rgb="FFC00000"/>
      <name val="Calibri"/>
      <family val="2"/>
    </font>
    <font>
      <b/>
      <sz val="11"/>
      <color theme="1"/>
      <name val="Calibri"/>
      <family val="2"/>
    </font>
    <font>
      <b/>
      <u val="double"/>
      <sz val="10"/>
      <color theme="1"/>
      <name val="Calibri"/>
      <family val="2"/>
      <scheme val="minor"/>
    </font>
    <font>
      <b/>
      <u/>
      <sz val="10"/>
      <color theme="1"/>
      <name val="Calibri"/>
      <family val="2"/>
      <scheme val="minor"/>
    </font>
    <font>
      <b/>
      <sz val="12"/>
      <color rgb="FFFFFFFF"/>
      <name val="Aptos Narrow"/>
    </font>
    <font>
      <b/>
      <sz val="16"/>
      <color rgb="FFFFFFFF"/>
      <name val="Calibri"/>
      <family val="2"/>
    </font>
    <font>
      <b/>
      <sz val="11"/>
      <color rgb="FF1F1F1F"/>
      <name val="Calibri"/>
      <family val="2"/>
    </font>
    <font>
      <b/>
      <u val="double"/>
      <sz val="11"/>
      <color rgb="FF000000"/>
      <name val="Calibri"/>
      <family val="2"/>
    </font>
    <font>
      <sz val="10"/>
      <color rgb="FF131E29"/>
      <name val="Source Sans Pro"/>
      <family val="2"/>
    </font>
    <font>
      <b/>
      <sz val="10"/>
      <color rgb="FFFFFFFF"/>
      <name val="Source Sans Pro"/>
      <family val="2"/>
    </font>
    <font>
      <b/>
      <sz val="11"/>
      <color rgb="FFFFFFFF"/>
      <name val="Source Sans Pro"/>
      <family val="2"/>
    </font>
    <font>
      <b/>
      <sz val="11"/>
      <name val="Source Sans Pro"/>
      <family val="2"/>
    </font>
    <font>
      <b/>
      <sz val="11"/>
      <color rgb="FF131E29"/>
      <name val="Source Sans Pro"/>
      <family val="2"/>
    </font>
    <font>
      <sz val="11"/>
      <color rgb="FF131E29"/>
      <name val="Source Sans Pro"/>
      <family val="2"/>
    </font>
    <font>
      <sz val="9"/>
      <color rgb="FF131E29"/>
      <name val="Arial"/>
      <family val="2"/>
    </font>
    <font>
      <b/>
      <sz val="16"/>
      <color rgb="FF000000"/>
      <name val="Calibri"/>
      <scheme val="minor"/>
    </font>
    <font>
      <b/>
      <i/>
      <sz val="16"/>
      <color rgb="FF000000"/>
      <name val="Calibri"/>
      <scheme val="minor"/>
    </font>
    <font>
      <b/>
      <sz val="11"/>
      <color rgb="FF000000"/>
      <name val="Calibri"/>
      <scheme val="minor"/>
    </font>
    <font>
      <b/>
      <i/>
      <u/>
      <sz val="11"/>
      <color rgb="FF000000"/>
      <name val="Calibri"/>
      <scheme val="minor"/>
    </font>
    <font>
      <b/>
      <i/>
      <u/>
      <sz val="11"/>
      <color theme="1"/>
      <name val="Calibri"/>
      <family val="2"/>
      <scheme val="minor"/>
    </font>
    <font>
      <b/>
      <sz val="11"/>
      <color rgb="FF000000"/>
      <name val="Calibri"/>
    </font>
    <font>
      <sz val="11"/>
      <color rgb="FFFF0000"/>
      <name val="Calibri"/>
      <family val="2"/>
    </font>
    <font>
      <b/>
      <u/>
      <sz val="11"/>
      <color rgb="FF000000"/>
      <name val="Calibri"/>
      <family val="2"/>
      <scheme val="minor"/>
    </font>
    <font>
      <u/>
      <sz val="11"/>
      <color rgb="FF000000"/>
      <name val="Calibri"/>
      <family val="2"/>
      <scheme val="minor"/>
    </font>
    <font>
      <i/>
      <sz val="11"/>
      <color rgb="FF000000"/>
      <name val="Calibri"/>
    </font>
    <font>
      <sz val="10"/>
      <color theme="1"/>
      <name val="Times New Roman"/>
      <family val="1"/>
      <charset val="1"/>
    </font>
    <font>
      <b/>
      <sz val="12"/>
      <color rgb="FFFFFFFF"/>
      <name val="Calibri"/>
      <family val="2"/>
      <charset val="1"/>
    </font>
    <font>
      <b/>
      <sz val="11"/>
      <color rgb="FF000000"/>
      <name val="Calibri"/>
      <family val="2"/>
      <charset val="1"/>
    </font>
    <font>
      <sz val="11"/>
      <color rgb="FF000000"/>
      <name val="Calibri"/>
      <family val="2"/>
      <charset val="1"/>
    </font>
    <font>
      <b/>
      <sz val="11"/>
      <color theme="1"/>
      <name val="Aptos"/>
      <family val="2"/>
      <charset val="1"/>
    </font>
    <font>
      <b/>
      <sz val="16"/>
      <color rgb="FFFFFFFF"/>
      <name val="Calibri"/>
      <family val="2"/>
      <scheme val="minor"/>
    </font>
    <font>
      <b/>
      <u val="double"/>
      <sz val="11"/>
      <color rgb="FF000000"/>
      <name val="Calibri"/>
      <family val="2"/>
      <scheme val="minor"/>
    </font>
    <font>
      <sz val="12"/>
      <color theme="1"/>
      <name val="Aptos"/>
      <family val="2"/>
    </font>
    <font>
      <sz val="11"/>
      <color theme="1"/>
      <name val="Aptos"/>
      <family val="2"/>
    </font>
    <font>
      <sz val="7"/>
      <color theme="1"/>
      <name val="Times New Roman"/>
      <family val="1"/>
    </font>
    <font>
      <sz val="11"/>
      <color rgb="FFC00000"/>
      <name val="Calibri"/>
      <family val="2"/>
      <scheme val="minor"/>
    </font>
    <font>
      <b/>
      <sz val="11"/>
      <name val="Calibri"/>
    </font>
    <font>
      <b/>
      <sz val="9"/>
      <color rgb="FF131E29"/>
      <name val="Arial"/>
      <family val="2"/>
    </font>
    <font>
      <sz val="8"/>
      <color rgb="FF000000"/>
      <name val="Arial"/>
      <family val="2"/>
      <charset val="1"/>
    </font>
    <font>
      <i/>
      <sz val="11"/>
      <color rgb="FF000000"/>
      <name val="Calibri"/>
      <scheme val="minor"/>
    </font>
    <font>
      <i/>
      <sz val="9"/>
      <color rgb="FF000000"/>
      <name val="Calibri"/>
      <family val="2"/>
      <scheme val="minor"/>
    </font>
    <font>
      <vertAlign val="subscript"/>
      <sz val="11"/>
      <color rgb="FF000000"/>
      <name val="Calibri"/>
    </font>
    <font>
      <vertAlign val="subscript"/>
      <sz val="11"/>
      <color rgb="FF000000"/>
      <name val="Calibri"/>
      <scheme val="minor"/>
    </font>
    <font>
      <sz val="11"/>
      <name val="Aptos Narrow"/>
      <family val="2"/>
    </font>
    <font>
      <vertAlign val="superscript"/>
      <sz val="12"/>
      <color rgb="FF000000"/>
      <name val="Aptos Narrow"/>
      <family val="2"/>
    </font>
    <font>
      <b/>
      <vertAlign val="superscript"/>
      <sz val="12"/>
      <color theme="0"/>
      <name val="Calibri"/>
      <family val="2"/>
      <scheme val="minor"/>
    </font>
  </fonts>
  <fills count="55">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499984740745262"/>
        <bgColor indexed="64"/>
      </patternFill>
    </fill>
    <fill>
      <patternFill patternType="solid">
        <fgColor rgb="FFFFFF00"/>
        <bgColor indexed="64"/>
      </patternFill>
    </fill>
    <fill>
      <patternFill patternType="solid">
        <fgColor theme="4"/>
        <bgColor indexed="64"/>
      </patternFill>
    </fill>
    <fill>
      <patternFill patternType="solid">
        <fgColor rgb="FFD9E1F2"/>
        <bgColor rgb="FF000000"/>
      </patternFill>
    </fill>
    <fill>
      <patternFill patternType="solid">
        <fgColor rgb="FF305496"/>
        <bgColor rgb="FF000000"/>
      </patternFill>
    </fill>
    <fill>
      <patternFill patternType="solid">
        <fgColor rgb="FF203764"/>
        <bgColor indexed="64"/>
      </patternFill>
    </fill>
    <fill>
      <patternFill patternType="solid">
        <fgColor theme="4" tint="0.79998168889431442"/>
        <bgColor indexed="65"/>
      </patternFill>
    </fill>
    <fill>
      <patternFill patternType="solid">
        <fgColor theme="7" tint="0.59999389629810485"/>
        <bgColor indexed="65"/>
      </patternFill>
    </fill>
    <fill>
      <patternFill patternType="solid">
        <fgColor theme="9" tint="0.79998168889431442"/>
        <bgColor indexed="65"/>
      </patternFill>
    </fill>
    <fill>
      <patternFill patternType="solid">
        <fgColor rgb="FFFEF99C"/>
        <bgColor indexed="64"/>
      </patternFill>
    </fill>
    <fill>
      <patternFill patternType="solid">
        <fgColor rgb="FFCCC9C9"/>
        <bgColor indexed="64"/>
      </patternFill>
    </fill>
    <fill>
      <patternFill patternType="solid">
        <fgColor rgb="FF99CCFF"/>
        <bgColor indexed="64"/>
      </patternFill>
    </fill>
    <fill>
      <patternFill patternType="solid">
        <fgColor rgb="FFDBA9DA"/>
        <bgColor indexed="64"/>
      </patternFill>
    </fill>
    <fill>
      <patternFill patternType="solid">
        <fgColor rgb="FFC4F0CD"/>
        <bgColor indexed="64"/>
      </patternFill>
    </fill>
    <fill>
      <patternFill patternType="solid">
        <fgColor rgb="FFF6D8B2"/>
        <bgColor indexed="64"/>
      </patternFill>
    </fill>
    <fill>
      <patternFill patternType="solid">
        <fgColor rgb="FF808080"/>
        <bgColor indexed="64"/>
      </patternFill>
    </fill>
    <fill>
      <patternFill patternType="solid">
        <fgColor theme="8" tint="0.79998168889431442"/>
        <bgColor indexed="64"/>
      </patternFill>
    </fill>
    <fill>
      <patternFill patternType="solid">
        <fgColor rgb="FF203764"/>
        <bgColor rgb="FF000000"/>
      </patternFill>
    </fill>
    <fill>
      <patternFill patternType="solid">
        <fgColor theme="4" tint="0.79998168889431442"/>
        <bgColor theme="4" tint="0.79998168889431442"/>
      </patternFill>
    </fill>
    <fill>
      <patternFill patternType="solid">
        <fgColor rgb="FF808080"/>
        <bgColor rgb="FF000000"/>
      </patternFill>
    </fill>
    <fill>
      <patternFill patternType="solid">
        <fgColor rgb="FFC4F0CD"/>
        <bgColor rgb="FF000000"/>
      </patternFill>
    </fill>
    <fill>
      <patternFill patternType="solid">
        <fgColor rgb="FFFFFF00"/>
        <bgColor rgb="FF000000"/>
      </patternFill>
    </fill>
    <fill>
      <patternFill patternType="solid">
        <fgColor rgb="FFD9E1F2"/>
        <bgColor rgb="FFD9E1F2"/>
      </patternFill>
    </fill>
    <fill>
      <patternFill patternType="solid">
        <fgColor theme="4"/>
        <bgColor theme="4"/>
      </patternFill>
    </fill>
    <fill>
      <patternFill patternType="solid">
        <fgColor rgb="FF1A171B"/>
        <bgColor rgb="FF1A171B"/>
      </patternFill>
    </fill>
    <fill>
      <patternFill patternType="solid">
        <fgColor rgb="FF999999"/>
        <bgColor rgb="FF999999"/>
      </patternFill>
    </fill>
    <fill>
      <patternFill patternType="solid">
        <fgColor rgb="FFB0C4DE"/>
        <bgColor rgb="FFB0C4DE"/>
      </patternFill>
    </fill>
    <fill>
      <patternFill patternType="solid">
        <fgColor rgb="FF92D050"/>
        <bgColor indexed="64"/>
      </patternFill>
    </fill>
    <fill>
      <patternFill patternType="solid">
        <fgColor theme="4" tint="0.59999389629810485"/>
        <bgColor indexed="64"/>
      </patternFill>
    </fill>
    <fill>
      <patternFill patternType="solid">
        <fgColor rgb="FF002060"/>
        <bgColor indexed="64"/>
      </patternFill>
    </fill>
    <fill>
      <patternFill patternType="solid">
        <fgColor theme="4" tint="0.59999389629810485"/>
        <bgColor theme="4" tint="0.59999389629810485"/>
      </patternFill>
    </fill>
    <fill>
      <patternFill patternType="solid">
        <fgColor theme="9"/>
        <bgColor indexed="64"/>
      </patternFill>
    </fill>
    <fill>
      <patternFill patternType="solid">
        <fgColor rgb="FFC0E6F5"/>
        <bgColor rgb="FFC0E6F5"/>
      </patternFill>
    </fill>
    <fill>
      <patternFill patternType="solid">
        <fgColor rgb="FF00B050"/>
        <bgColor indexed="64"/>
      </patternFill>
    </fill>
    <fill>
      <patternFill patternType="solid">
        <fgColor theme="3"/>
        <bgColor theme="4" tint="0.79998168889431442"/>
      </patternFill>
    </fill>
    <fill>
      <patternFill patternType="solid">
        <fgColor rgb="FFFFFF99"/>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104861"/>
        <bgColor rgb="FF000000"/>
      </patternFill>
    </fill>
    <fill>
      <patternFill patternType="solid">
        <fgColor rgb="FFF2F2F2"/>
        <bgColor rgb="FF000000"/>
      </patternFill>
    </fill>
    <fill>
      <patternFill patternType="solid">
        <fgColor rgb="FFC0E6F5"/>
        <bgColor rgb="FF000000"/>
      </patternFill>
    </fill>
    <fill>
      <patternFill patternType="solid">
        <fgColor rgb="FF1F4E79"/>
        <bgColor rgb="FF000000"/>
      </patternFill>
    </fill>
    <fill>
      <patternFill patternType="solid">
        <fgColor rgb="FF1D3A94"/>
        <bgColor rgb="FF000000"/>
      </patternFill>
    </fill>
    <fill>
      <patternFill patternType="solid">
        <fgColor rgb="FF063546"/>
        <bgColor rgb="FF000000"/>
      </patternFill>
    </fill>
    <fill>
      <patternFill patternType="solid">
        <fgColor rgb="FF8FA6E9"/>
        <bgColor rgb="FF000000"/>
      </patternFill>
    </fill>
    <fill>
      <patternFill patternType="solid">
        <fgColor rgb="FFC7D2F3"/>
        <bgColor rgb="FF000000"/>
      </patternFill>
    </fill>
    <fill>
      <patternFill patternType="solid">
        <fgColor rgb="FF305496"/>
        <bgColor indexed="64"/>
      </patternFill>
    </fill>
    <fill>
      <patternFill patternType="solid">
        <fgColor rgb="FF1F4E78"/>
        <bgColor indexed="64"/>
      </patternFill>
    </fill>
    <fill>
      <patternFill patternType="solid">
        <fgColor theme="5"/>
        <bgColor indexed="64"/>
      </patternFill>
    </fill>
  </fills>
  <borders count="89">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diagonal/>
    </border>
    <border>
      <left style="thin">
        <color theme="2"/>
      </left>
      <right style="thin">
        <color theme="2"/>
      </right>
      <top/>
      <bottom style="thin">
        <color theme="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rgb="FF000000"/>
      </right>
      <top style="medium">
        <color indexed="64"/>
      </top>
      <bottom style="medium">
        <color indexed="64"/>
      </bottom>
      <diagonal/>
    </border>
    <border>
      <left/>
      <right/>
      <top/>
      <bottom style="medium">
        <color rgb="FF000000"/>
      </bottom>
      <diagonal/>
    </border>
    <border>
      <left/>
      <right/>
      <top/>
      <bottom style="thick">
        <color theme="4" tint="0.499984740745262"/>
      </bottom>
      <diagonal/>
    </border>
    <border>
      <left/>
      <right/>
      <top/>
      <bottom style="medium">
        <color theme="4" tint="0.3999755851924192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bottom/>
      <diagonal/>
    </border>
    <border>
      <left/>
      <right/>
      <top style="medium">
        <color auto="1"/>
      </top>
      <bottom/>
      <diagonal/>
    </border>
    <border>
      <left/>
      <right style="medium">
        <color auto="1"/>
      </right>
      <top style="medium">
        <color auto="1"/>
      </top>
      <bottom/>
      <diagonal/>
    </border>
    <border>
      <left/>
      <right style="thin">
        <color theme="0"/>
      </right>
      <top/>
      <bottom/>
      <diagonal/>
    </border>
    <border>
      <left style="thin">
        <color theme="0"/>
      </left>
      <right style="thin">
        <color theme="0"/>
      </right>
      <top/>
      <bottom/>
      <diagonal/>
    </border>
    <border>
      <left/>
      <right/>
      <top/>
      <bottom style="thin">
        <color indexed="64"/>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theme="4" tint="0.39997558519241921"/>
      </bottom>
      <diagonal/>
    </border>
    <border>
      <left/>
      <right style="thin">
        <color rgb="FF000000"/>
      </right>
      <top/>
      <bottom/>
      <diagonal/>
    </border>
    <border>
      <left/>
      <right/>
      <top style="thin">
        <color theme="4" tint="0.39997558519241921"/>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bottom style="thin">
        <color rgb="FFD3D3D3"/>
      </bottom>
      <diagonal/>
    </border>
    <border>
      <left/>
      <right style="thin">
        <color rgb="FFD3D3D3"/>
      </right>
      <top/>
      <bottom style="thin">
        <color rgb="FFD3D3D3"/>
      </bottom>
      <diagonal/>
    </border>
    <border>
      <left style="thin">
        <color rgb="FFD3D3D3"/>
      </left>
      <right style="thin">
        <color rgb="FFD3D3D3"/>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theme="4" tint="0.39997558519241921"/>
      </bottom>
      <diagonal/>
    </border>
    <border>
      <left style="medium">
        <color indexed="64"/>
      </left>
      <right style="medium">
        <color indexed="64"/>
      </right>
      <top style="medium">
        <color indexed="64"/>
      </top>
      <bottom style="thin">
        <color theme="4" tint="0.39997558519241921"/>
      </bottom>
      <diagonal/>
    </border>
    <border>
      <left style="medium">
        <color indexed="64"/>
      </left>
      <right style="medium">
        <color indexed="64"/>
      </right>
      <top/>
      <bottom/>
      <diagonal/>
    </border>
    <border>
      <left style="thin">
        <color theme="4" tint="0.39997558519241921"/>
      </left>
      <right/>
      <top style="thin">
        <color theme="4" tint="0.39997558519241921"/>
      </top>
      <bottom style="thin">
        <color theme="4" tint="0.39997558519241921"/>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rgb="FF000000"/>
      </top>
      <bottom/>
      <diagonal/>
    </border>
    <border>
      <left style="thin">
        <color indexed="64"/>
      </left>
      <right/>
      <top style="thin">
        <color theme="4" tint="0.39997558519241921"/>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s>
  <cellStyleXfs count="21">
    <xf numFmtId="0" fontId="0" fillId="0" borderId="0"/>
    <xf numFmtId="0" fontId="5" fillId="0" borderId="0" applyNumberFormat="0" applyFill="0" applyBorder="0" applyAlignment="0" applyProtection="0"/>
    <xf numFmtId="9" fontId="9" fillId="0" borderId="0" applyFont="0" applyFill="0" applyBorder="0" applyAlignment="0" applyProtection="0"/>
    <xf numFmtId="0" fontId="10" fillId="0" borderId="0"/>
    <xf numFmtId="9" fontId="10"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xf numFmtId="0" fontId="36" fillId="0" borderId="0"/>
    <xf numFmtId="0" fontId="33" fillId="2" borderId="23" applyAlignment="0" applyProtection="0"/>
    <xf numFmtId="0" fontId="34" fillId="0" borderId="24" applyFill="0" applyAlignment="0" applyProtection="0"/>
    <xf numFmtId="0" fontId="9" fillId="0" borderId="0"/>
    <xf numFmtId="169" fontId="9" fillId="13" borderId="0" applyBorder="0" applyAlignment="0" applyProtection="0"/>
    <xf numFmtId="169" fontId="9" fillId="12" borderId="0" applyBorder="0" applyAlignment="0" applyProtection="0"/>
    <xf numFmtId="169" fontId="9" fillId="11" borderId="0" applyBorder="0" applyAlignment="0" applyProtection="0"/>
    <xf numFmtId="0" fontId="9" fillId="0" borderId="0"/>
    <xf numFmtId="0" fontId="9" fillId="0" borderId="0"/>
    <xf numFmtId="9" fontId="9" fillId="0" borderId="0" applyFont="0" applyFill="0" applyBorder="0" applyAlignment="0" applyProtection="0"/>
    <xf numFmtId="0" fontId="40" fillId="0" borderId="0"/>
    <xf numFmtId="166"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891">
    <xf numFmtId="0" fontId="0" fillId="0" borderId="0" xfId="0"/>
    <xf numFmtId="0" fontId="0" fillId="2" borderId="0" xfId="0" applyFill="1"/>
    <xf numFmtId="0" fontId="0" fillId="3" borderId="0" xfId="0" applyFill="1"/>
    <xf numFmtId="0" fontId="0" fillId="0" borderId="0" xfId="0" applyAlignment="1">
      <alignment vertical="top" wrapText="1"/>
    </xf>
    <xf numFmtId="0" fontId="4" fillId="2" borderId="0" xfId="0" applyFont="1" applyFill="1" applyAlignment="1">
      <alignment wrapText="1"/>
    </xf>
    <xf numFmtId="0" fontId="4" fillId="3" borderId="0" xfId="0" applyFont="1" applyFill="1" applyAlignment="1">
      <alignment wrapText="1"/>
    </xf>
    <xf numFmtId="0" fontId="0" fillId="0" borderId="0" xfId="0" applyAlignment="1">
      <alignment wrapText="1"/>
    </xf>
    <xf numFmtId="0" fontId="0" fillId="0" borderId="0" xfId="0" quotePrefix="1" applyAlignment="1">
      <alignment wrapText="1"/>
    </xf>
    <xf numFmtId="14" fontId="0" fillId="0" borderId="0" xfId="0" applyNumberFormat="1"/>
    <xf numFmtId="0" fontId="5" fillId="4" borderId="1" xfId="1" applyFill="1" applyBorder="1" applyAlignment="1" applyProtection="1">
      <alignment vertical="center" wrapText="1"/>
      <protection locked="0"/>
    </xf>
    <xf numFmtId="0" fontId="5" fillId="0" borderId="0" xfId="1"/>
    <xf numFmtId="9" fontId="5" fillId="4" borderId="1" xfId="1" applyNumberFormat="1" applyFill="1" applyBorder="1" applyAlignment="1" applyProtection="1">
      <alignment vertical="center" wrapText="1"/>
      <protection locked="0"/>
    </xf>
    <xf numFmtId="0" fontId="5" fillId="4" borderId="1" xfId="1" applyFill="1" applyBorder="1" applyAlignment="1" applyProtection="1">
      <alignment vertical="center" wrapText="1"/>
    </xf>
    <xf numFmtId="0" fontId="5" fillId="4" borderId="2" xfId="1" applyFill="1" applyBorder="1" applyAlignment="1" applyProtection="1">
      <alignment horizontal="left" vertical="center"/>
    </xf>
    <xf numFmtId="0" fontId="5" fillId="4" borderId="3" xfId="1" applyFill="1" applyBorder="1" applyAlignment="1" applyProtection="1">
      <alignment horizontal="left" vertical="center"/>
    </xf>
    <xf numFmtId="0" fontId="5" fillId="4" borderId="4" xfId="1" applyFill="1" applyBorder="1" applyAlignment="1" applyProtection="1">
      <alignment horizontal="left" vertical="center"/>
    </xf>
    <xf numFmtId="0" fontId="5" fillId="4" borderId="2" xfId="1" applyFill="1" applyBorder="1" applyAlignment="1" applyProtection="1">
      <alignment vertical="center" wrapText="1"/>
    </xf>
    <xf numFmtId="0" fontId="5" fillId="4" borderId="1" xfId="1" applyFill="1" applyBorder="1" applyAlignment="1" applyProtection="1">
      <alignment horizontal="left" vertical="center" wrapText="1"/>
      <protection locked="0"/>
    </xf>
    <xf numFmtId="0" fontId="11" fillId="0" borderId="0" xfId="3" applyFont="1" applyAlignment="1">
      <alignment wrapText="1"/>
    </xf>
    <xf numFmtId="0" fontId="12" fillId="5" borderId="0" xfId="3" applyFont="1" applyFill="1" applyAlignment="1">
      <alignment wrapText="1"/>
    </xf>
    <xf numFmtId="0" fontId="12" fillId="0" borderId="0" xfId="3" applyFont="1" applyAlignment="1">
      <alignment wrapText="1"/>
    </xf>
    <xf numFmtId="0" fontId="12" fillId="5" borderId="5" xfId="3" applyFont="1" applyFill="1" applyBorder="1" applyAlignment="1">
      <alignment vertical="center" wrapText="1"/>
    </xf>
    <xf numFmtId="0" fontId="12" fillId="5" borderId="6" xfId="3" applyFont="1" applyFill="1" applyBorder="1" applyAlignment="1">
      <alignment vertical="center" wrapText="1"/>
    </xf>
    <xf numFmtId="0" fontId="13" fillId="5" borderId="0" xfId="3" applyFont="1" applyFill="1" applyAlignment="1">
      <alignment wrapText="1"/>
    </xf>
    <xf numFmtId="0" fontId="14" fillId="5" borderId="8" xfId="3" applyFont="1" applyFill="1" applyBorder="1" applyAlignment="1">
      <alignment wrapText="1"/>
    </xf>
    <xf numFmtId="0" fontId="14" fillId="5" borderId="9" xfId="3" applyFont="1" applyFill="1" applyBorder="1" applyAlignment="1">
      <alignment wrapText="1"/>
    </xf>
    <xf numFmtId="0" fontId="10" fillId="0" borderId="0" xfId="3"/>
    <xf numFmtId="0" fontId="11" fillId="0" borderId="0" xfId="3" applyFont="1"/>
    <xf numFmtId="168" fontId="11" fillId="6" borderId="10" xfId="4" applyNumberFormat="1" applyFont="1" applyFill="1" applyBorder="1" applyAlignment="1">
      <alignment horizontal="center" vertical="center"/>
    </xf>
    <xf numFmtId="9" fontId="11" fillId="6" borderId="10" xfId="4" applyFont="1" applyFill="1" applyBorder="1" applyAlignment="1">
      <alignment horizontal="center" vertical="center"/>
    </xf>
    <xf numFmtId="0" fontId="11" fillId="0" borderId="10" xfId="3" applyFont="1" applyBorder="1" applyAlignment="1">
      <alignment horizontal="center" vertical="center"/>
    </xf>
    <xf numFmtId="0" fontId="11" fillId="0" borderId="10" xfId="3" applyFont="1" applyBorder="1"/>
    <xf numFmtId="0" fontId="15" fillId="0" borderId="0" xfId="3" applyFont="1"/>
    <xf numFmtId="0" fontId="15" fillId="0" borderId="0" xfId="3" applyFont="1" applyAlignment="1">
      <alignment horizontal="left" vertical="center" indent="2"/>
    </xf>
    <xf numFmtId="168" fontId="11" fillId="0" borderId="10" xfId="4" applyNumberFormat="1" applyFont="1" applyFill="1" applyBorder="1" applyAlignment="1">
      <alignment horizontal="center" vertical="center"/>
    </xf>
    <xf numFmtId="9" fontId="11" fillId="0" borderId="10" xfId="4" applyFont="1" applyFill="1" applyBorder="1" applyAlignment="1">
      <alignment horizontal="center" vertical="center"/>
    </xf>
    <xf numFmtId="0" fontId="10" fillId="0" borderId="10" xfId="3" applyBorder="1"/>
    <xf numFmtId="168" fontId="11" fillId="7" borderId="10" xfId="4" applyNumberFormat="1" applyFont="1" applyFill="1" applyBorder="1" applyAlignment="1">
      <alignment horizontal="center" vertical="center"/>
    </xf>
    <xf numFmtId="9" fontId="11" fillId="7" borderId="10" xfId="4" applyFont="1" applyFill="1" applyBorder="1" applyAlignment="1">
      <alignment horizontal="center" vertical="center"/>
    </xf>
    <xf numFmtId="0" fontId="11" fillId="0" borderId="0" xfId="3" applyFont="1" applyAlignment="1">
      <alignment horizontal="right"/>
    </xf>
    <xf numFmtId="0" fontId="10" fillId="6" borderId="10" xfId="3" applyFill="1" applyBorder="1" applyAlignment="1">
      <alignment wrapText="1"/>
    </xf>
    <xf numFmtId="0" fontId="10" fillId="0" borderId="10" xfId="3" applyBorder="1" applyAlignment="1">
      <alignment wrapText="1"/>
    </xf>
    <xf numFmtId="0" fontId="10" fillId="7" borderId="0" xfId="3" applyFill="1"/>
    <xf numFmtId="164" fontId="10" fillId="0" borderId="0" xfId="3" applyNumberFormat="1"/>
    <xf numFmtId="165" fontId="10" fillId="0" borderId="0" xfId="3" applyNumberFormat="1"/>
    <xf numFmtId="9" fontId="0" fillId="0" borderId="0" xfId="4" applyFont="1"/>
    <xf numFmtId="1" fontId="15" fillId="0" borderId="0" xfId="3" applyNumberFormat="1" applyFont="1" applyAlignment="1">
      <alignment vertical="center"/>
    </xf>
    <xf numFmtId="164" fontId="15" fillId="0" borderId="0" xfId="3" applyNumberFormat="1" applyFont="1" applyAlignment="1">
      <alignment horizontal="center"/>
    </xf>
    <xf numFmtId="0" fontId="15" fillId="0" borderId="0" xfId="3" applyFont="1" applyAlignment="1">
      <alignment horizontal="center"/>
    </xf>
    <xf numFmtId="0" fontId="10" fillId="0" borderId="0" xfId="3" applyAlignment="1">
      <alignment horizontal="center"/>
    </xf>
    <xf numFmtId="0" fontId="15" fillId="0" borderId="0" xfId="3" applyFont="1" applyAlignment="1">
      <alignment horizontal="left" vertical="center" indent="10"/>
    </xf>
    <xf numFmtId="0" fontId="10" fillId="0" borderId="0" xfId="3" applyAlignment="1">
      <alignment horizontal="left" indent="10"/>
    </xf>
    <xf numFmtId="170" fontId="10" fillId="0" borderId="0" xfId="3" applyNumberFormat="1"/>
    <xf numFmtId="0" fontId="16" fillId="0" borderId="0" xfId="0" applyFont="1"/>
    <xf numFmtId="9" fontId="16" fillId="8" borderId="11" xfId="0" applyNumberFormat="1" applyFont="1" applyFill="1" applyBorder="1"/>
    <xf numFmtId="9" fontId="16" fillId="8" borderId="12" xfId="0" applyNumberFormat="1" applyFont="1" applyFill="1" applyBorder="1"/>
    <xf numFmtId="0" fontId="16" fillId="0" borderId="13" xfId="0" applyFont="1" applyBorder="1"/>
    <xf numFmtId="0" fontId="16" fillId="0" borderId="14" xfId="0" applyFont="1" applyBorder="1"/>
    <xf numFmtId="0" fontId="16" fillId="0" borderId="15" xfId="0" applyFont="1" applyBorder="1"/>
    <xf numFmtId="0" fontId="17" fillId="0" borderId="0" xfId="0" applyFont="1"/>
    <xf numFmtId="0" fontId="16" fillId="0" borderId="16" xfId="0" applyFont="1" applyBorder="1"/>
    <xf numFmtId="0" fontId="16" fillId="0" borderId="17" xfId="0" applyFont="1" applyBorder="1"/>
    <xf numFmtId="0" fontId="0" fillId="0" borderId="17" xfId="0" applyBorder="1"/>
    <xf numFmtId="0" fontId="16" fillId="0" borderId="18" xfId="0" applyFont="1" applyBorder="1"/>
    <xf numFmtId="0" fontId="16" fillId="0" borderId="19" xfId="0" applyFont="1" applyBorder="1"/>
    <xf numFmtId="0" fontId="16" fillId="0" borderId="20" xfId="0" applyFont="1" applyBorder="1"/>
    <xf numFmtId="0" fontId="18" fillId="9" borderId="21" xfId="0" applyFont="1" applyFill="1" applyBorder="1" applyAlignment="1">
      <alignment horizontal="center"/>
    </xf>
    <xf numFmtId="0" fontId="18" fillId="9" borderId="15" xfId="0" applyFont="1" applyFill="1" applyBorder="1" applyAlignment="1">
      <alignment horizontal="center"/>
    </xf>
    <xf numFmtId="0" fontId="7" fillId="0" borderId="0" xfId="0" applyFont="1"/>
    <xf numFmtId="0" fontId="5" fillId="4" borderId="0" xfId="1" applyFill="1" applyBorder="1" applyAlignment="1" applyProtection="1">
      <alignment vertical="center" wrapText="1"/>
      <protection locked="0"/>
    </xf>
    <xf numFmtId="0" fontId="20" fillId="0" borderId="22" xfId="0" applyFont="1" applyBorder="1"/>
    <xf numFmtId="0" fontId="21" fillId="0" borderId="0" xfId="0" applyFont="1"/>
    <xf numFmtId="9" fontId="0" fillId="0" borderId="0" xfId="0" applyNumberFormat="1"/>
    <xf numFmtId="0" fontId="0" fillId="0" borderId="22" xfId="0" applyBorder="1"/>
    <xf numFmtId="0" fontId="0" fillId="0" borderId="0" xfId="0" applyAlignment="1">
      <alignment horizontal="center"/>
    </xf>
    <xf numFmtId="4" fontId="7" fillId="0" borderId="0" xfId="0" applyNumberFormat="1" applyFont="1"/>
    <xf numFmtId="0" fontId="29" fillId="10" borderId="0" xfId="0" applyFont="1" applyFill="1"/>
    <xf numFmtId="0" fontId="29" fillId="10" borderId="0" xfId="0" applyFont="1" applyFill="1" applyAlignment="1">
      <alignment wrapText="1"/>
    </xf>
    <xf numFmtId="0" fontId="31" fillId="0" borderId="0" xfId="0" applyFont="1"/>
    <xf numFmtId="0" fontId="20" fillId="0" borderId="17" xfId="0" applyFont="1" applyBorder="1"/>
    <xf numFmtId="0" fontId="0" fillId="0" borderId="17" xfId="0" applyBorder="1" applyAlignment="1">
      <alignment horizontal="right"/>
    </xf>
    <xf numFmtId="9" fontId="7" fillId="0" borderId="0" xfId="0" applyNumberFormat="1" applyFont="1" applyAlignment="1">
      <alignment horizontal="right"/>
    </xf>
    <xf numFmtId="0" fontId="0" fillId="0" borderId="0" xfId="0" applyAlignment="1">
      <alignment horizontal="right"/>
    </xf>
    <xf numFmtId="0" fontId="32" fillId="5" borderId="0" xfId="0" applyFont="1" applyFill="1" applyAlignment="1">
      <alignment horizontal="right"/>
    </xf>
    <xf numFmtId="0" fontId="32" fillId="5" borderId="0" xfId="0" applyFont="1" applyFill="1"/>
    <xf numFmtId="3" fontId="7" fillId="0" borderId="0" xfId="0" applyNumberFormat="1" applyFont="1" applyAlignment="1">
      <alignment horizontal="right"/>
    </xf>
    <xf numFmtId="0" fontId="29" fillId="10" borderId="0" xfId="0" applyFont="1" applyFill="1" applyAlignment="1">
      <alignment horizontal="right"/>
    </xf>
    <xf numFmtId="3" fontId="0" fillId="0" borderId="0" xfId="0" applyNumberFormat="1"/>
    <xf numFmtId="3" fontId="35" fillId="0" borderId="0" xfId="0" applyNumberFormat="1" applyFont="1"/>
    <xf numFmtId="0" fontId="38" fillId="0" borderId="0" xfId="7" applyFont="1" applyAlignment="1">
      <alignment wrapText="1"/>
    </xf>
    <xf numFmtId="0" fontId="38" fillId="14" borderId="0" xfId="7" applyFont="1" applyFill="1" applyAlignment="1">
      <alignment wrapText="1"/>
    </xf>
    <xf numFmtId="0" fontId="38" fillId="15" borderId="0" xfId="7" applyFont="1" applyFill="1" applyAlignment="1">
      <alignment wrapText="1"/>
    </xf>
    <xf numFmtId="0" fontId="38" fillId="16" borderId="0" xfId="7" applyFont="1" applyFill="1" applyAlignment="1">
      <alignment wrapText="1"/>
    </xf>
    <xf numFmtId="0" fontId="38" fillId="17" borderId="0" xfId="7" applyFont="1" applyFill="1" applyAlignment="1">
      <alignment wrapText="1"/>
    </xf>
    <xf numFmtId="0" fontId="38" fillId="18" borderId="0" xfId="7" applyFont="1" applyFill="1" applyAlignment="1">
      <alignment wrapText="1"/>
    </xf>
    <xf numFmtId="0" fontId="38" fillId="19" borderId="0" xfId="7" applyFont="1" applyFill="1" applyAlignment="1">
      <alignment wrapText="1"/>
    </xf>
    <xf numFmtId="0" fontId="38" fillId="0" borderId="25" xfId="7" applyFont="1" applyBorder="1" applyAlignment="1">
      <alignment horizontal="right" wrapText="1"/>
    </xf>
    <xf numFmtId="49" fontId="38" fillId="0" borderId="25" xfId="7" applyNumberFormat="1" applyFont="1" applyBorder="1" applyAlignment="1">
      <alignment wrapText="1"/>
    </xf>
    <xf numFmtId="0" fontId="38" fillId="0" borderId="25" xfId="7" applyFont="1" applyBorder="1" applyAlignment="1">
      <alignment wrapText="1"/>
    </xf>
    <xf numFmtId="172" fontId="38" fillId="0" borderId="25" xfId="7" applyNumberFormat="1" applyFont="1" applyBorder="1" applyAlignment="1">
      <alignment wrapText="1"/>
    </xf>
    <xf numFmtId="172" fontId="38" fillId="0" borderId="0" xfId="7" applyNumberFormat="1" applyFont="1" applyAlignment="1">
      <alignment wrapText="1"/>
    </xf>
    <xf numFmtId="43" fontId="0" fillId="0" borderId="0" xfId="5" applyFont="1"/>
    <xf numFmtId="49" fontId="39" fillId="20" borderId="27" xfId="7" applyNumberFormat="1" applyFont="1" applyFill="1" applyBorder="1" applyAlignment="1">
      <alignment horizontal="center" wrapText="1"/>
    </xf>
    <xf numFmtId="0" fontId="38" fillId="0" borderId="28" xfId="7" applyFont="1" applyBorder="1" applyAlignment="1">
      <alignment horizontal="right" wrapText="1"/>
    </xf>
    <xf numFmtId="9" fontId="0" fillId="0" borderId="0" xfId="2" applyFont="1"/>
    <xf numFmtId="0" fontId="0" fillId="6" borderId="0" xfId="0" applyFill="1"/>
    <xf numFmtId="1" fontId="0" fillId="0" borderId="0" xfId="0" applyNumberFormat="1"/>
    <xf numFmtId="1" fontId="0" fillId="0" borderId="17" xfId="0" applyNumberFormat="1" applyBorder="1"/>
    <xf numFmtId="0" fontId="0" fillId="0" borderId="0" xfId="6" applyNumberFormat="1" applyFont="1"/>
    <xf numFmtId="1" fontId="0" fillId="0" borderId="0" xfId="0" applyNumberFormat="1" applyAlignment="1">
      <alignment horizontal="right"/>
    </xf>
    <xf numFmtId="1" fontId="0" fillId="0" borderId="17" xfId="0" applyNumberFormat="1" applyBorder="1" applyAlignment="1">
      <alignment horizontal="right"/>
    </xf>
    <xf numFmtId="9" fontId="5" fillId="0" borderId="0" xfId="2" applyFont="1" applyFill="1"/>
    <xf numFmtId="9" fontId="5" fillId="0" borderId="0" xfId="1" applyNumberFormat="1" applyFill="1"/>
    <xf numFmtId="0" fontId="5" fillId="0" borderId="0" xfId="1" applyFill="1"/>
    <xf numFmtId="0" fontId="5" fillId="0" borderId="0" xfId="1" applyNumberFormat="1" applyFill="1"/>
    <xf numFmtId="2" fontId="5" fillId="0" borderId="0" xfId="1" applyNumberFormat="1" applyFill="1"/>
    <xf numFmtId="10" fontId="5" fillId="0" borderId="0" xfId="1" applyNumberFormat="1" applyFill="1"/>
    <xf numFmtId="1" fontId="5" fillId="0" borderId="0" xfId="1" applyNumberFormat="1" applyFill="1"/>
    <xf numFmtId="169" fontId="0" fillId="0" borderId="0" xfId="0" applyNumberFormat="1"/>
    <xf numFmtId="1" fontId="7" fillId="0" borderId="0" xfId="0" applyNumberFormat="1" applyFont="1" applyAlignment="1">
      <alignment horizontal="right"/>
    </xf>
    <xf numFmtId="0" fontId="38" fillId="2" borderId="0" xfId="7" applyFont="1" applyFill="1" applyAlignment="1">
      <alignment wrapText="1"/>
    </xf>
    <xf numFmtId="172" fontId="38" fillId="6" borderId="25" xfId="7" applyNumberFormat="1" applyFont="1" applyFill="1" applyBorder="1" applyAlignment="1">
      <alignment wrapText="1"/>
    </xf>
    <xf numFmtId="0" fontId="0" fillId="21" borderId="31" xfId="0" applyFill="1" applyBorder="1"/>
    <xf numFmtId="0" fontId="0" fillId="21" borderId="32" xfId="0" applyFill="1" applyBorder="1"/>
    <xf numFmtId="0" fontId="0" fillId="21" borderId="0" xfId="0" applyFill="1"/>
    <xf numFmtId="0" fontId="0" fillId="21" borderId="34" xfId="0" applyFill="1" applyBorder="1"/>
    <xf numFmtId="0" fontId="7" fillId="21" borderId="30" xfId="0" applyFont="1" applyFill="1" applyBorder="1"/>
    <xf numFmtId="0" fontId="7" fillId="21" borderId="33" xfId="0" applyFont="1" applyFill="1" applyBorder="1"/>
    <xf numFmtId="172" fontId="38" fillId="6" borderId="28" xfId="7" applyNumberFormat="1" applyFont="1" applyFill="1" applyBorder="1" applyAlignment="1">
      <alignment wrapText="1"/>
    </xf>
    <xf numFmtId="172" fontId="38" fillId="6" borderId="0" xfId="7" applyNumberFormat="1" applyFont="1" applyFill="1" applyAlignment="1">
      <alignment wrapText="1"/>
    </xf>
    <xf numFmtId="0" fontId="9" fillId="0" borderId="0" xfId="14"/>
    <xf numFmtId="0" fontId="9" fillId="0" borderId="25" xfId="14" applyBorder="1"/>
    <xf numFmtId="0" fontId="9" fillId="0" borderId="35" xfId="14" applyBorder="1"/>
    <xf numFmtId="0" fontId="42" fillId="6" borderId="36" xfId="15" applyFont="1" applyFill="1" applyBorder="1"/>
    <xf numFmtId="0" fontId="42" fillId="6" borderId="37" xfId="15" applyFont="1" applyFill="1" applyBorder="1"/>
    <xf numFmtId="1" fontId="9" fillId="0" borderId="0" xfId="14" applyNumberFormat="1"/>
    <xf numFmtId="9" fontId="0" fillId="0" borderId="0" xfId="16" applyFont="1"/>
    <xf numFmtId="0" fontId="42" fillId="6" borderId="17" xfId="15" applyFont="1" applyFill="1" applyBorder="1"/>
    <xf numFmtId="0" fontId="42" fillId="6" borderId="16" xfId="15" applyFont="1" applyFill="1" applyBorder="1"/>
    <xf numFmtId="9" fontId="0" fillId="6" borderId="0" xfId="16" applyFont="1" applyFill="1"/>
    <xf numFmtId="171" fontId="19" fillId="0" borderId="25" xfId="14" applyNumberFormat="1" applyFont="1" applyBorder="1"/>
    <xf numFmtId="171" fontId="9" fillId="0" borderId="25" xfId="14" applyNumberFormat="1" applyBorder="1"/>
    <xf numFmtId="9" fontId="0" fillId="0" borderId="0" xfId="16" applyFont="1" applyFill="1"/>
    <xf numFmtId="0" fontId="9" fillId="0" borderId="0" xfId="14" applyAlignment="1">
      <alignment wrapText="1"/>
    </xf>
    <xf numFmtId="0" fontId="42" fillId="6" borderId="0" xfId="15" applyFont="1" applyFill="1"/>
    <xf numFmtId="0" fontId="42" fillId="6" borderId="19" xfId="15" applyFont="1" applyFill="1" applyBorder="1"/>
    <xf numFmtId="0" fontId="0" fillId="0" borderId="0" xfId="0" applyAlignment="1">
      <alignment vertical="top"/>
    </xf>
    <xf numFmtId="2" fontId="0" fillId="0" borderId="0" xfId="0" applyNumberFormat="1"/>
    <xf numFmtId="171" fontId="0" fillId="0" borderId="0" xfId="5" applyNumberFormat="1" applyFont="1"/>
    <xf numFmtId="0" fontId="12" fillId="5" borderId="38" xfId="3" applyFont="1" applyFill="1" applyBorder="1" applyAlignment="1">
      <alignment vertical="center" wrapText="1"/>
    </xf>
    <xf numFmtId="0" fontId="12" fillId="5" borderId="39" xfId="3" applyFont="1" applyFill="1" applyBorder="1" applyAlignment="1">
      <alignment vertical="center" wrapText="1"/>
    </xf>
    <xf numFmtId="0" fontId="12" fillId="5" borderId="39" xfId="3" applyFont="1" applyFill="1" applyBorder="1" applyAlignment="1">
      <alignment horizontal="center" vertical="center" wrapText="1"/>
    </xf>
    <xf numFmtId="0" fontId="46" fillId="5" borderId="6" xfId="3" applyFont="1" applyFill="1" applyBorder="1" applyAlignment="1">
      <alignment vertical="center" wrapText="1"/>
    </xf>
    <xf numFmtId="0" fontId="46" fillId="5" borderId="39" xfId="3" applyFont="1" applyFill="1" applyBorder="1" applyAlignment="1">
      <alignment vertical="center" wrapText="1"/>
    </xf>
    <xf numFmtId="0" fontId="12" fillId="5" borderId="0" xfId="3" applyFont="1" applyFill="1" applyAlignment="1">
      <alignment vertical="center" wrapText="1"/>
    </xf>
    <xf numFmtId="0" fontId="14" fillId="5" borderId="0" xfId="3" applyFont="1" applyFill="1" applyAlignment="1">
      <alignment wrapText="1"/>
    </xf>
    <xf numFmtId="10" fontId="11" fillId="0" borderId="0" xfId="4" applyNumberFormat="1" applyFont="1" applyBorder="1" applyAlignment="1">
      <alignment horizontal="center" vertical="center"/>
    </xf>
    <xf numFmtId="0" fontId="11" fillId="0" borderId="0" xfId="3" applyFont="1" applyAlignment="1">
      <alignment horizontal="center" vertical="center"/>
    </xf>
    <xf numFmtId="0" fontId="10" fillId="0" borderId="0" xfId="3" applyAlignment="1">
      <alignment wrapText="1"/>
    </xf>
    <xf numFmtId="2" fontId="11" fillId="6" borderId="10" xfId="3" applyNumberFormat="1" applyFont="1" applyFill="1" applyBorder="1" applyAlignment="1">
      <alignment horizontal="center" vertical="center"/>
    </xf>
    <xf numFmtId="0" fontId="11" fillId="6" borderId="10" xfId="3" applyFont="1" applyFill="1" applyBorder="1" applyAlignment="1">
      <alignment horizontal="center" vertical="center"/>
    </xf>
    <xf numFmtId="10" fontId="11" fillId="6" borderId="10" xfId="4" applyNumberFormat="1" applyFont="1" applyFill="1" applyBorder="1" applyAlignment="1">
      <alignment horizontal="center" vertical="center"/>
    </xf>
    <xf numFmtId="0" fontId="47" fillId="0" borderId="22" xfId="0" applyFont="1" applyBorder="1"/>
    <xf numFmtId="0" fontId="35" fillId="0" borderId="22" xfId="0" applyFont="1" applyBorder="1"/>
    <xf numFmtId="0" fontId="35" fillId="0" borderId="0" xfId="0" applyFont="1"/>
    <xf numFmtId="0" fontId="48" fillId="22" borderId="22" xfId="0" applyFont="1" applyFill="1" applyBorder="1"/>
    <xf numFmtId="0" fontId="0" fillId="0" borderId="40" xfId="0" applyBorder="1"/>
    <xf numFmtId="0" fontId="15" fillId="0" borderId="0" xfId="0" applyFont="1"/>
    <xf numFmtId="164" fontId="15" fillId="0" borderId="0" xfId="0" applyNumberFormat="1" applyFont="1"/>
    <xf numFmtId="164" fontId="16" fillId="0" borderId="0" xfId="0" applyNumberFormat="1" applyFont="1"/>
    <xf numFmtId="1" fontId="11" fillId="6" borderId="10" xfId="4" applyNumberFormat="1" applyFont="1" applyFill="1" applyBorder="1" applyAlignment="1">
      <alignment horizontal="center" vertical="center"/>
    </xf>
    <xf numFmtId="1" fontId="11" fillId="0" borderId="10" xfId="4" applyNumberFormat="1" applyFont="1" applyFill="1" applyBorder="1" applyAlignment="1">
      <alignment horizontal="center" vertical="center"/>
    </xf>
    <xf numFmtId="1" fontId="11" fillId="7" borderId="10" xfId="4" applyNumberFormat="1" applyFont="1" applyFill="1" applyBorder="1" applyAlignment="1">
      <alignment horizontal="center" vertical="center"/>
    </xf>
    <xf numFmtId="0" fontId="37" fillId="0" borderId="0" xfId="7" applyFont="1" applyAlignment="1">
      <alignment horizontal="right" wrapText="1"/>
    </xf>
    <xf numFmtId="0" fontId="38" fillId="0" borderId="0" xfId="7" applyFont="1" applyAlignment="1">
      <alignment horizontal="left" wrapText="1"/>
    </xf>
    <xf numFmtId="0" fontId="50" fillId="0" borderId="25" xfId="0" applyFont="1" applyBorder="1" applyAlignment="1">
      <alignment horizontal="right" wrapText="1"/>
    </xf>
    <xf numFmtId="0" fontId="50" fillId="25" borderId="25" xfId="0" applyFont="1" applyFill="1" applyBorder="1" applyAlignment="1">
      <alignment horizontal="right" wrapText="1"/>
    </xf>
    <xf numFmtId="0" fontId="50" fillId="0" borderId="25" xfId="0" applyFont="1" applyBorder="1" applyAlignment="1">
      <alignment wrapText="1"/>
    </xf>
    <xf numFmtId="4" fontId="50" fillId="25" borderId="25" xfId="0" applyNumberFormat="1" applyFont="1" applyFill="1" applyBorder="1" applyAlignment="1">
      <alignment horizontal="right" wrapText="1"/>
    </xf>
    <xf numFmtId="0" fontId="50" fillId="0" borderId="25" xfId="0" applyFont="1" applyBorder="1" applyAlignment="1">
      <alignment horizontal="left" wrapText="1"/>
    </xf>
    <xf numFmtId="0" fontId="50" fillId="0" borderId="0" xfId="0" applyFont="1" applyAlignment="1">
      <alignment horizontal="right" wrapText="1"/>
    </xf>
    <xf numFmtId="0" fontId="50" fillId="23" borderId="25" xfId="0" applyFont="1" applyFill="1" applyBorder="1" applyAlignment="1">
      <alignment horizontal="left" wrapText="1"/>
    </xf>
    <xf numFmtId="0" fontId="50" fillId="23" borderId="25" xfId="0" applyFont="1" applyFill="1" applyBorder="1" applyAlignment="1">
      <alignment horizontal="right" wrapText="1"/>
    </xf>
    <xf numFmtId="0" fontId="50" fillId="26" borderId="25" xfId="0" applyFont="1" applyFill="1" applyBorder="1" applyAlignment="1">
      <alignment horizontal="right" wrapText="1"/>
    </xf>
    <xf numFmtId="0" fontId="50" fillId="27" borderId="0" xfId="0" applyFont="1" applyFill="1" applyAlignment="1">
      <alignment horizontal="right" wrapText="1"/>
    </xf>
    <xf numFmtId="0" fontId="38" fillId="0" borderId="25" xfId="0" applyFont="1" applyBorder="1" applyAlignment="1">
      <alignment horizontal="left" wrapText="1"/>
    </xf>
    <xf numFmtId="172" fontId="38" fillId="0" borderId="28" xfId="7" applyNumberFormat="1" applyFont="1" applyBorder="1" applyAlignment="1">
      <alignment wrapText="1"/>
    </xf>
    <xf numFmtId="174" fontId="38" fillId="0" borderId="25" xfId="0" applyNumberFormat="1" applyFont="1" applyBorder="1" applyAlignment="1">
      <alignment wrapText="1"/>
    </xf>
    <xf numFmtId="174" fontId="38" fillId="0" borderId="25" xfId="0" applyNumberFormat="1" applyFont="1" applyBorder="1" applyAlignment="1">
      <alignment horizontal="right" wrapText="1"/>
    </xf>
    <xf numFmtId="174" fontId="38" fillId="18" borderId="25" xfId="0" applyNumberFormat="1" applyFont="1" applyFill="1" applyBorder="1" applyAlignment="1">
      <alignment horizontal="right" wrapText="1"/>
    </xf>
    <xf numFmtId="0" fontId="7" fillId="0" borderId="0" xfId="0" applyFont="1" applyAlignment="1">
      <alignment wrapText="1"/>
    </xf>
    <xf numFmtId="0" fontId="38" fillId="0" borderId="20" xfId="7" applyFont="1" applyBorder="1" applyAlignment="1">
      <alignment wrapText="1"/>
    </xf>
    <xf numFmtId="0" fontId="38" fillId="0" borderId="19" xfId="7" applyFont="1" applyBorder="1" applyAlignment="1">
      <alignment wrapText="1"/>
    </xf>
    <xf numFmtId="0" fontId="38" fillId="0" borderId="18" xfId="7" applyFont="1" applyBorder="1" applyAlignment="1">
      <alignment wrapText="1"/>
    </xf>
    <xf numFmtId="43" fontId="38" fillId="0" borderId="16" xfId="7" applyNumberFormat="1" applyFont="1" applyBorder="1" applyAlignment="1">
      <alignment wrapText="1"/>
    </xf>
    <xf numFmtId="0" fontId="38" fillId="0" borderId="17" xfId="7" applyFont="1" applyBorder="1" applyAlignment="1">
      <alignment wrapText="1"/>
    </xf>
    <xf numFmtId="4" fontId="0" fillId="0" borderId="0" xfId="0" applyNumberFormat="1"/>
    <xf numFmtId="0" fontId="0" fillId="0" borderId="0" xfId="0" applyAlignment="1">
      <alignment horizontal="left"/>
    </xf>
    <xf numFmtId="0" fontId="23" fillId="0" borderId="0" xfId="17" applyFont="1"/>
    <xf numFmtId="0" fontId="53" fillId="29" borderId="0" xfId="17" applyFont="1" applyFill="1" applyAlignment="1">
      <alignment vertical="top" wrapText="1" readingOrder="1"/>
    </xf>
    <xf numFmtId="171" fontId="23" fillId="0" borderId="0" xfId="5" applyNumberFormat="1" applyFont="1"/>
    <xf numFmtId="0" fontId="29" fillId="4" borderId="0" xfId="0" applyFont="1" applyFill="1" applyAlignment="1">
      <alignment wrapText="1"/>
    </xf>
    <xf numFmtId="0" fontId="51" fillId="28" borderId="42" xfId="0" applyFont="1" applyFill="1" applyBorder="1" applyAlignment="1">
      <alignment wrapText="1"/>
    </xf>
    <xf numFmtId="0" fontId="55" fillId="0" borderId="0" xfId="0" applyFont="1"/>
    <xf numFmtId="0" fontId="56" fillId="0" borderId="0" xfId="0" applyFont="1"/>
    <xf numFmtId="0" fontId="57" fillId="0" borderId="0" xfId="0" applyFont="1"/>
    <xf numFmtId="171" fontId="0" fillId="0" borderId="0" xfId="0" applyNumberFormat="1"/>
    <xf numFmtId="171" fontId="0" fillId="0" borderId="0" xfId="6" applyNumberFormat="1" applyFont="1"/>
    <xf numFmtId="171" fontId="38" fillId="0" borderId="25" xfId="5" applyNumberFormat="1" applyFont="1" applyBorder="1" applyAlignment="1">
      <alignment wrapText="1"/>
    </xf>
    <xf numFmtId="171" fontId="38" fillId="0" borderId="0" xfId="5" applyNumberFormat="1" applyFont="1" applyAlignment="1">
      <alignment wrapText="1"/>
    </xf>
    <xf numFmtId="171" fontId="38" fillId="0" borderId="26" xfId="5" applyNumberFormat="1" applyFont="1" applyBorder="1" applyAlignment="1">
      <alignment wrapText="1"/>
    </xf>
    <xf numFmtId="0" fontId="0" fillId="23" borderId="42" xfId="0" applyFill="1" applyBorder="1"/>
    <xf numFmtId="171" fontId="0" fillId="6" borderId="42" xfId="0" applyNumberFormat="1" applyFill="1" applyBorder="1"/>
    <xf numFmtId="0" fontId="0" fillId="0" borderId="42" xfId="0" applyBorder="1"/>
    <xf numFmtId="171" fontId="6" fillId="6" borderId="42" xfId="0" applyNumberFormat="1" applyFont="1" applyFill="1" applyBorder="1"/>
    <xf numFmtId="171" fontId="0" fillId="0" borderId="0" xfId="0" applyNumberFormat="1" applyAlignment="1">
      <alignment vertical="top"/>
    </xf>
    <xf numFmtId="0" fontId="7" fillId="6" borderId="0" xfId="0" applyFont="1" applyFill="1"/>
    <xf numFmtId="0" fontId="7" fillId="6" borderId="10" xfId="0" applyFont="1" applyFill="1" applyBorder="1"/>
    <xf numFmtId="0" fontId="38" fillId="4" borderId="0" xfId="7" applyFont="1" applyFill="1" applyAlignment="1">
      <alignment wrapText="1"/>
    </xf>
    <xf numFmtId="2" fontId="11" fillId="0" borderId="10" xfId="3" applyNumberFormat="1" applyFont="1" applyBorder="1" applyAlignment="1">
      <alignment horizontal="center" vertical="center"/>
    </xf>
    <xf numFmtId="0" fontId="41" fillId="0" borderId="0" xfId="0" applyFont="1"/>
    <xf numFmtId="171" fontId="58" fillId="0" borderId="0" xfId="0" applyNumberFormat="1" applyFont="1"/>
    <xf numFmtId="49" fontId="39" fillId="20" borderId="27" xfId="7" applyNumberFormat="1" applyFont="1" applyFill="1" applyBorder="1" applyAlignment="1">
      <alignment horizontal="left"/>
    </xf>
    <xf numFmtId="0" fontId="38" fillId="0" borderId="25" xfId="7" applyFont="1" applyBorder="1" applyAlignment="1">
      <alignment horizontal="left"/>
    </xf>
    <xf numFmtId="0" fontId="38" fillId="0" borderId="0" xfId="7" applyFont="1" applyAlignment="1">
      <alignment horizontal="left"/>
    </xf>
    <xf numFmtId="9" fontId="38" fillId="0" borderId="0" xfId="7" applyNumberFormat="1" applyFont="1" applyAlignment="1">
      <alignment wrapText="1"/>
    </xf>
    <xf numFmtId="43" fontId="38" fillId="0" borderId="0" xfId="7" applyNumberFormat="1" applyFont="1" applyAlignment="1">
      <alignment wrapText="1"/>
    </xf>
    <xf numFmtId="43" fontId="38" fillId="18" borderId="0" xfId="5" applyFont="1" applyFill="1" applyAlignment="1">
      <alignment wrapText="1"/>
    </xf>
    <xf numFmtId="0" fontId="6" fillId="0" borderId="0" xfId="0" applyFont="1" applyAlignment="1">
      <alignment wrapText="1"/>
    </xf>
    <xf numFmtId="171" fontId="60" fillId="18" borderId="26" xfId="5" applyNumberFormat="1" applyFont="1" applyFill="1" applyBorder="1" applyAlignment="1">
      <alignment wrapText="1"/>
    </xf>
    <xf numFmtId="171" fontId="60" fillId="0" borderId="26" xfId="5" applyNumberFormat="1" applyFont="1" applyBorder="1" applyAlignment="1">
      <alignment wrapText="1"/>
    </xf>
    <xf numFmtId="172" fontId="60" fillId="6" borderId="25" xfId="7" applyNumberFormat="1" applyFont="1" applyFill="1" applyBorder="1" applyAlignment="1">
      <alignment wrapText="1"/>
    </xf>
    <xf numFmtId="171" fontId="0" fillId="32" borderId="0" xfId="0" applyNumberFormat="1" applyFill="1" applyAlignment="1">
      <alignment wrapText="1"/>
    </xf>
    <xf numFmtId="171" fontId="0" fillId="32" borderId="0" xfId="0" applyNumberFormat="1" applyFill="1"/>
    <xf numFmtId="0" fontId="61" fillId="32" borderId="0" xfId="0" applyFont="1" applyFill="1" applyAlignment="1">
      <alignment wrapText="1"/>
    </xf>
    <xf numFmtId="0" fontId="7" fillId="32" borderId="0" xfId="0" applyFont="1" applyFill="1"/>
    <xf numFmtId="171" fontId="62" fillId="18" borderId="26" xfId="5" applyNumberFormat="1" applyFont="1" applyFill="1" applyBorder="1" applyAlignment="1">
      <alignment wrapText="1"/>
    </xf>
    <xf numFmtId="0" fontId="0" fillId="33" borderId="0" xfId="0" applyFill="1" applyAlignment="1">
      <alignment vertical="top" wrapText="1"/>
    </xf>
    <xf numFmtId="171" fontId="0" fillId="33" borderId="0" xfId="0" applyNumberFormat="1" applyFill="1"/>
    <xf numFmtId="171" fontId="0" fillId="2" borderId="0" xfId="0" applyNumberFormat="1" applyFill="1"/>
    <xf numFmtId="0" fontId="54" fillId="30" borderId="0" xfId="0" applyFont="1" applyFill="1" applyAlignment="1">
      <alignment wrapText="1" readingOrder="1"/>
    </xf>
    <xf numFmtId="0" fontId="15" fillId="31" borderId="44" xfId="0" applyFont="1" applyFill="1" applyBorder="1" applyAlignment="1">
      <alignment wrapText="1" readingOrder="1"/>
    </xf>
    <xf numFmtId="0" fontId="15" fillId="31" borderId="46" xfId="0" applyFont="1" applyFill="1" applyBorder="1" applyAlignment="1">
      <alignment wrapText="1" readingOrder="1"/>
    </xf>
    <xf numFmtId="171" fontId="9" fillId="0" borderId="0" xfId="14" applyNumberFormat="1"/>
    <xf numFmtId="0" fontId="60" fillId="18" borderId="0" xfId="7" applyFont="1" applyFill="1" applyAlignment="1">
      <alignment wrapText="1"/>
    </xf>
    <xf numFmtId="172" fontId="60" fillId="0" borderId="0" xfId="7" applyNumberFormat="1" applyFont="1" applyAlignment="1">
      <alignment wrapText="1"/>
    </xf>
    <xf numFmtId="0" fontId="60" fillId="0" borderId="0" xfId="7" applyFont="1" applyAlignment="1">
      <alignment wrapText="1"/>
    </xf>
    <xf numFmtId="171" fontId="25" fillId="0" borderId="0" xfId="0" applyNumberFormat="1" applyFont="1"/>
    <xf numFmtId="0" fontId="25" fillId="0" borderId="0" xfId="0" applyFont="1"/>
    <xf numFmtId="0" fontId="25" fillId="6" borderId="0" xfId="0" applyFont="1" applyFill="1"/>
    <xf numFmtId="0" fontId="15" fillId="31" borderId="0" xfId="0" applyFont="1" applyFill="1" applyAlignment="1">
      <alignment wrapText="1" readingOrder="1"/>
    </xf>
    <xf numFmtId="0" fontId="15" fillId="31" borderId="25" xfId="0" applyFont="1" applyFill="1" applyBorder="1" applyAlignment="1">
      <alignment wrapText="1" readingOrder="1"/>
    </xf>
    <xf numFmtId="0" fontId="15" fillId="31" borderId="27" xfId="0" applyFont="1" applyFill="1" applyBorder="1" applyAlignment="1">
      <alignment wrapText="1" readingOrder="1"/>
    </xf>
    <xf numFmtId="4" fontId="15" fillId="31" borderId="46" xfId="0" applyNumberFormat="1" applyFont="1" applyFill="1" applyBorder="1" applyAlignment="1">
      <alignment wrapText="1" readingOrder="1"/>
    </xf>
    <xf numFmtId="4" fontId="15" fillId="31" borderId="0" xfId="0" applyNumberFormat="1" applyFont="1" applyFill="1" applyAlignment="1">
      <alignment wrapText="1" readingOrder="1"/>
    </xf>
    <xf numFmtId="17" fontId="39" fillId="24" borderId="25" xfId="0" applyNumberFormat="1" applyFont="1" applyFill="1" applyBorder="1" applyAlignment="1">
      <alignment horizontal="center" wrapText="1"/>
    </xf>
    <xf numFmtId="172" fontId="38" fillId="18" borderId="25" xfId="7" applyNumberFormat="1" applyFont="1" applyFill="1" applyBorder="1" applyAlignment="1">
      <alignment wrapText="1"/>
    </xf>
    <xf numFmtId="0" fontId="38" fillId="4" borderId="41" xfId="7" applyFont="1" applyFill="1" applyBorder="1" applyAlignment="1">
      <alignment wrapText="1"/>
    </xf>
    <xf numFmtId="0" fontId="38" fillId="23" borderId="25" xfId="7" applyFont="1" applyFill="1" applyBorder="1" applyAlignment="1">
      <alignment horizontal="right" wrapText="1"/>
    </xf>
    <xf numFmtId="49" fontId="38" fillId="23" borderId="25" xfId="7" applyNumberFormat="1" applyFont="1" applyFill="1" applyBorder="1" applyAlignment="1">
      <alignment wrapText="1"/>
    </xf>
    <xf numFmtId="0" fontId="38" fillId="23" borderId="25" xfId="7" applyFont="1" applyFill="1" applyBorder="1" applyAlignment="1">
      <alignment wrapText="1"/>
    </xf>
    <xf numFmtId="2" fontId="38" fillId="0" borderId="0" xfId="7" applyNumberFormat="1" applyFont="1" applyAlignment="1">
      <alignment wrapText="1"/>
    </xf>
    <xf numFmtId="171" fontId="38" fillId="18" borderId="45" xfId="5" applyNumberFormat="1" applyFont="1" applyFill="1" applyBorder="1" applyAlignment="1">
      <alignment wrapText="1"/>
    </xf>
    <xf numFmtId="171" fontId="38" fillId="18" borderId="26" xfId="5" applyNumberFormat="1" applyFont="1" applyFill="1" applyBorder="1" applyAlignment="1">
      <alignment wrapText="1"/>
    </xf>
    <xf numFmtId="0" fontId="37" fillId="0" borderId="43" xfId="7" applyFont="1" applyBorder="1" applyAlignment="1">
      <alignment wrapText="1"/>
    </xf>
    <xf numFmtId="0" fontId="25" fillId="32" borderId="0" xfId="0" applyFont="1" applyFill="1" applyAlignment="1">
      <alignment wrapText="1"/>
    </xf>
    <xf numFmtId="0" fontId="7" fillId="33" borderId="0" xfId="0" applyFont="1" applyFill="1"/>
    <xf numFmtId="171" fontId="25" fillId="32" borderId="0" xfId="0" applyNumberFormat="1" applyFont="1" applyFill="1"/>
    <xf numFmtId="171" fontId="38" fillId="18" borderId="25" xfId="5" applyNumberFormat="1" applyFont="1" applyFill="1" applyBorder="1" applyAlignment="1">
      <alignment wrapText="1"/>
    </xf>
    <xf numFmtId="0" fontId="38" fillId="23" borderId="25" xfId="0" applyFont="1" applyFill="1" applyBorder="1" applyAlignment="1">
      <alignment horizontal="left" wrapText="1"/>
    </xf>
    <xf numFmtId="174" fontId="38" fillId="32" borderId="25" xfId="0" applyNumberFormat="1" applyFont="1" applyFill="1" applyBorder="1" applyAlignment="1">
      <alignment horizontal="right" wrapText="1"/>
    </xf>
    <xf numFmtId="174" fontId="38" fillId="2" borderId="25" xfId="0" applyNumberFormat="1" applyFont="1" applyFill="1" applyBorder="1" applyAlignment="1">
      <alignment horizontal="right" wrapText="1"/>
    </xf>
    <xf numFmtId="172" fontId="38" fillId="0" borderId="27" xfId="7" applyNumberFormat="1" applyFont="1" applyBorder="1" applyAlignment="1">
      <alignment wrapText="1"/>
    </xf>
    <xf numFmtId="0" fontId="37" fillId="0" borderId="0" xfId="7" applyFont="1" applyAlignment="1">
      <alignment wrapText="1"/>
    </xf>
    <xf numFmtId="0" fontId="38" fillId="0" borderId="36" xfId="7" applyFont="1" applyBorder="1" applyAlignment="1">
      <alignment wrapText="1"/>
    </xf>
    <xf numFmtId="43" fontId="38" fillId="0" borderId="37" xfId="5" applyFont="1" applyBorder="1" applyAlignment="1">
      <alignment wrapText="1"/>
    </xf>
    <xf numFmtId="43" fontId="38" fillId="0" borderId="19" xfId="5" applyFont="1" applyBorder="1" applyAlignment="1">
      <alignment wrapText="1"/>
    </xf>
    <xf numFmtId="0" fontId="37" fillId="0" borderId="19" xfId="7" applyFont="1" applyBorder="1" applyAlignment="1">
      <alignment wrapText="1"/>
    </xf>
    <xf numFmtId="43" fontId="37" fillId="0" borderId="19" xfId="7" applyNumberFormat="1" applyFont="1" applyBorder="1" applyAlignment="1">
      <alignment wrapText="1"/>
    </xf>
    <xf numFmtId="171" fontId="2" fillId="0" borderId="0" xfId="5" applyNumberFormat="1" applyFont="1"/>
    <xf numFmtId="43" fontId="0" fillId="0" borderId="0" xfId="5" applyFont="1" applyFill="1"/>
    <xf numFmtId="49" fontId="39" fillId="20" borderId="25" xfId="7" applyNumberFormat="1" applyFont="1" applyFill="1" applyBorder="1" applyAlignment="1">
      <alignment horizontal="center" wrapText="1"/>
    </xf>
    <xf numFmtId="174" fontId="38" fillId="23" borderId="25" xfId="0" applyNumberFormat="1" applyFont="1" applyFill="1" applyBorder="1" applyAlignment="1">
      <alignment wrapText="1"/>
    </xf>
    <xf numFmtId="174" fontId="38" fillId="23" borderId="25" xfId="0" applyNumberFormat="1" applyFont="1" applyFill="1" applyBorder="1" applyAlignment="1">
      <alignment horizontal="right" wrapText="1"/>
    </xf>
    <xf numFmtId="0" fontId="38" fillId="23" borderId="47" xfId="7" applyFont="1" applyFill="1" applyBorder="1" applyAlignment="1">
      <alignment horizontal="right" wrapText="1"/>
    </xf>
    <xf numFmtId="0" fontId="38" fillId="0" borderId="47" xfId="7" applyFont="1" applyBorder="1" applyAlignment="1">
      <alignment horizontal="right" wrapText="1"/>
    </xf>
    <xf numFmtId="174" fontId="0" fillId="0" borderId="0" xfId="0" applyNumberFormat="1"/>
    <xf numFmtId="174" fontId="7" fillId="0" borderId="0" xfId="0" applyNumberFormat="1" applyFont="1"/>
    <xf numFmtId="172" fontId="63" fillId="18" borderId="25" xfId="7" applyNumberFormat="1" applyFont="1" applyFill="1" applyBorder="1" applyAlignment="1">
      <alignment wrapText="1"/>
    </xf>
    <xf numFmtId="172" fontId="63" fillId="18" borderId="28" xfId="7" applyNumberFormat="1" applyFont="1" applyFill="1" applyBorder="1" applyAlignment="1">
      <alignment wrapText="1"/>
    </xf>
    <xf numFmtId="49" fontId="64" fillId="20" borderId="27" xfId="7" applyNumberFormat="1" applyFont="1" applyFill="1" applyBorder="1" applyAlignment="1">
      <alignment horizontal="center" wrapText="1"/>
    </xf>
    <xf numFmtId="172" fontId="65" fillId="18" borderId="27" xfId="7" applyNumberFormat="1" applyFont="1" applyFill="1" applyBorder="1" applyAlignment="1">
      <alignment wrapText="1"/>
    </xf>
    <xf numFmtId="0" fontId="66" fillId="0" borderId="0" xfId="0" applyFont="1"/>
    <xf numFmtId="4" fontId="15" fillId="31" borderId="25" xfId="0" applyNumberFormat="1" applyFont="1" applyFill="1" applyBorder="1" applyAlignment="1">
      <alignment wrapText="1" readingOrder="1"/>
    </xf>
    <xf numFmtId="0" fontId="15" fillId="31" borderId="35" xfId="0" applyFont="1" applyFill="1" applyBorder="1" applyAlignment="1">
      <alignment wrapText="1" readingOrder="1"/>
    </xf>
    <xf numFmtId="0" fontId="15" fillId="31" borderId="48" xfId="0" applyFont="1" applyFill="1" applyBorder="1" applyAlignment="1">
      <alignment wrapText="1" readingOrder="1"/>
    </xf>
    <xf numFmtId="0" fontId="67" fillId="31" borderId="27" xfId="0" applyFont="1" applyFill="1" applyBorder="1" applyAlignment="1">
      <alignment wrapText="1" readingOrder="1"/>
    </xf>
    <xf numFmtId="0" fontId="67" fillId="31" borderId="46" xfId="0" applyFont="1" applyFill="1" applyBorder="1" applyAlignment="1">
      <alignment wrapText="1" readingOrder="1"/>
    </xf>
    <xf numFmtId="0" fontId="6" fillId="0" borderId="0" xfId="0" applyFont="1"/>
    <xf numFmtId="4" fontId="67" fillId="31" borderId="46" xfId="0" applyNumberFormat="1" applyFont="1" applyFill="1" applyBorder="1" applyAlignment="1">
      <alignment wrapText="1" readingOrder="1"/>
    </xf>
    <xf numFmtId="0" fontId="67" fillId="31" borderId="25" xfId="0" applyFont="1" applyFill="1" applyBorder="1" applyAlignment="1">
      <alignment wrapText="1" readingOrder="1"/>
    </xf>
    <xf numFmtId="171" fontId="23" fillId="6" borderId="0" xfId="5" applyNumberFormat="1" applyFont="1" applyFill="1"/>
    <xf numFmtId="9" fontId="0" fillId="0" borderId="0" xfId="2" applyFont="1" applyAlignment="1">
      <alignment wrapText="1"/>
    </xf>
    <xf numFmtId="0" fontId="23" fillId="0" borderId="0" xfId="17" applyFont="1" applyAlignment="1">
      <alignment wrapText="1"/>
    </xf>
    <xf numFmtId="0" fontId="23" fillId="6" borderId="0" xfId="17" applyFont="1" applyFill="1" applyAlignment="1">
      <alignment wrapText="1"/>
    </xf>
    <xf numFmtId="0" fontId="68" fillId="0" borderId="0" xfId="17" applyFont="1"/>
    <xf numFmtId="0" fontId="68" fillId="0" borderId="0" xfId="17" applyFont="1" applyAlignment="1">
      <alignment horizontal="right"/>
    </xf>
    <xf numFmtId="171" fontId="68" fillId="0" borderId="0" xfId="17" applyNumberFormat="1" applyFont="1"/>
    <xf numFmtId="171" fontId="68" fillId="0" borderId="0" xfId="5" applyNumberFormat="1" applyFont="1"/>
    <xf numFmtId="0" fontId="51" fillId="34" borderId="25" xfId="0" applyFont="1" applyFill="1" applyBorder="1"/>
    <xf numFmtId="0" fontId="0" fillId="34" borderId="25" xfId="0" applyFill="1" applyBorder="1"/>
    <xf numFmtId="0" fontId="7" fillId="0" borderId="25" xfId="0" applyFont="1" applyBorder="1"/>
    <xf numFmtId="174" fontId="7" fillId="0" borderId="25" xfId="0" applyNumberFormat="1" applyFont="1" applyBorder="1"/>
    <xf numFmtId="172" fontId="7" fillId="0" borderId="25" xfId="0" applyNumberFormat="1" applyFont="1" applyBorder="1"/>
    <xf numFmtId="173" fontId="7" fillId="0" borderId="25" xfId="0" applyNumberFormat="1" applyFont="1" applyBorder="1"/>
    <xf numFmtId="0" fontId="69" fillId="34" borderId="25" xfId="0" applyFont="1" applyFill="1" applyBorder="1"/>
    <xf numFmtId="0" fontId="70" fillId="0" borderId="0" xfId="0" applyFont="1"/>
    <xf numFmtId="1" fontId="10" fillId="0" borderId="0" xfId="3" applyNumberFormat="1"/>
    <xf numFmtId="1" fontId="71" fillId="0" borderId="0" xfId="3" applyNumberFormat="1" applyFont="1" applyAlignment="1">
      <alignment vertical="center"/>
    </xf>
    <xf numFmtId="172" fontId="60" fillId="0" borderId="25" xfId="7" applyNumberFormat="1" applyFont="1" applyBorder="1" applyAlignment="1">
      <alignment wrapText="1"/>
    </xf>
    <xf numFmtId="174" fontId="38" fillId="6" borderId="25" xfId="0" applyNumberFormat="1" applyFont="1" applyFill="1" applyBorder="1" applyAlignment="1">
      <alignment horizontal="right" wrapText="1"/>
    </xf>
    <xf numFmtId="174" fontId="0" fillId="6" borderId="0" xfId="0" applyNumberFormat="1" applyFill="1"/>
    <xf numFmtId="0" fontId="38" fillId="6" borderId="25" xfId="0" applyFont="1" applyFill="1" applyBorder="1" applyAlignment="1">
      <alignment horizontal="left" wrapText="1"/>
    </xf>
    <xf numFmtId="9" fontId="10" fillId="0" borderId="0" xfId="3" applyNumberFormat="1"/>
    <xf numFmtId="172" fontId="63" fillId="0" borderId="25" xfId="7" applyNumberFormat="1" applyFont="1" applyBorder="1" applyAlignment="1">
      <alignment wrapText="1"/>
    </xf>
    <xf numFmtId="172" fontId="63" fillId="0" borderId="27" xfId="7" applyNumberFormat="1" applyFont="1" applyBorder="1" applyAlignment="1">
      <alignment wrapText="1"/>
    </xf>
    <xf numFmtId="172" fontId="63" fillId="0" borderId="28" xfId="7" applyNumberFormat="1" applyFont="1" applyBorder="1" applyAlignment="1">
      <alignment wrapText="1"/>
    </xf>
    <xf numFmtId="9" fontId="63" fillId="0" borderId="25" xfId="7" applyNumberFormat="1" applyFont="1" applyBorder="1" applyAlignment="1">
      <alignment wrapText="1"/>
    </xf>
    <xf numFmtId="9" fontId="0" fillId="0" borderId="40" xfId="0" applyNumberFormat="1" applyBorder="1"/>
    <xf numFmtId="172" fontId="50" fillId="0" borderId="0" xfId="7" applyNumberFormat="1" applyFont="1" applyAlignment="1">
      <alignment wrapText="1"/>
    </xf>
    <xf numFmtId="0" fontId="38" fillId="0" borderId="0" xfId="7" applyFont="1" applyAlignment="1">
      <alignment vertical="top" wrapText="1"/>
    </xf>
    <xf numFmtId="0" fontId="38" fillId="0" borderId="0" xfId="0" applyFont="1" applyAlignment="1">
      <alignment vertical="top" wrapText="1"/>
    </xf>
    <xf numFmtId="0" fontId="38" fillId="14" borderId="0" xfId="0" applyFont="1" applyFill="1" applyAlignment="1">
      <alignment vertical="top" wrapText="1"/>
    </xf>
    <xf numFmtId="0" fontId="38" fillId="15" borderId="0" xfId="7" applyFont="1" applyFill="1" applyAlignment="1">
      <alignment vertical="top" wrapText="1"/>
    </xf>
    <xf numFmtId="0" fontId="38" fillId="16" borderId="0" xfId="7" applyFont="1" applyFill="1" applyAlignment="1">
      <alignment vertical="top" wrapText="1"/>
    </xf>
    <xf numFmtId="0" fontId="38" fillId="17" borderId="0" xfId="7" applyFont="1" applyFill="1" applyAlignment="1">
      <alignment vertical="top" wrapText="1"/>
    </xf>
    <xf numFmtId="0" fontId="38" fillId="18" borderId="0" xfId="7" applyFont="1" applyFill="1" applyAlignment="1">
      <alignment vertical="top" wrapText="1"/>
    </xf>
    <xf numFmtId="0" fontId="38" fillId="19" borderId="0" xfId="7" applyFont="1" applyFill="1" applyAlignment="1">
      <alignment vertical="top" wrapText="1"/>
    </xf>
    <xf numFmtId="49" fontId="39" fillId="20" borderId="27" xfId="7" applyNumberFormat="1" applyFont="1" applyFill="1" applyBorder="1" applyAlignment="1">
      <alignment horizontal="center" vertical="top" wrapText="1"/>
    </xf>
    <xf numFmtId="17" fontId="39" fillId="24" borderId="25" xfId="0" applyNumberFormat="1" applyFont="1" applyFill="1" applyBorder="1" applyAlignment="1">
      <alignment horizontal="center" vertical="top" wrapText="1"/>
    </xf>
    <xf numFmtId="49" fontId="39" fillId="20" borderId="45" xfId="7" applyNumberFormat="1" applyFont="1" applyFill="1" applyBorder="1" applyAlignment="1">
      <alignment horizontal="center" vertical="top" wrapText="1"/>
    </xf>
    <xf numFmtId="0" fontId="38" fillId="0" borderId="25" xfId="7" applyFont="1" applyBorder="1" applyAlignment="1">
      <alignment vertical="top" wrapText="1"/>
    </xf>
    <xf numFmtId="0" fontId="38" fillId="0" borderId="25" xfId="0" applyFont="1" applyBorder="1" applyAlignment="1">
      <alignment horizontal="left" vertical="top" wrapText="1"/>
    </xf>
    <xf numFmtId="0" fontId="38" fillId="0" borderId="25" xfId="7" applyFont="1" applyBorder="1" applyAlignment="1">
      <alignment horizontal="right" vertical="top" wrapText="1"/>
    </xf>
    <xf numFmtId="49" fontId="38" fillId="0" borderId="25" xfId="7" applyNumberFormat="1" applyFont="1" applyBorder="1" applyAlignment="1">
      <alignment vertical="top" wrapText="1"/>
    </xf>
    <xf numFmtId="174" fontId="38" fillId="18" borderId="25" xfId="0" applyNumberFormat="1" applyFont="1" applyFill="1" applyBorder="1" applyAlignment="1">
      <alignment horizontal="right" vertical="top" wrapText="1"/>
    </xf>
    <xf numFmtId="171" fontId="38" fillId="18" borderId="26" xfId="5" applyNumberFormat="1" applyFont="1" applyFill="1" applyBorder="1" applyAlignment="1">
      <alignment vertical="top" wrapText="1"/>
    </xf>
    <xf numFmtId="174" fontId="38" fillId="0" borderId="25" xfId="0" applyNumberFormat="1" applyFont="1" applyBorder="1" applyAlignment="1">
      <alignment vertical="top" wrapText="1"/>
    </xf>
    <xf numFmtId="171" fontId="38" fillId="0" borderId="26" xfId="5" applyNumberFormat="1" applyFont="1" applyBorder="1" applyAlignment="1">
      <alignment vertical="top" wrapText="1"/>
    </xf>
    <xf numFmtId="174" fontId="38" fillId="0" borderId="25" xfId="0" applyNumberFormat="1" applyFont="1" applyBorder="1" applyAlignment="1">
      <alignment horizontal="right" vertical="top" wrapText="1"/>
    </xf>
    <xf numFmtId="43" fontId="38" fillId="0" borderId="0" xfId="7" applyNumberFormat="1" applyFont="1" applyAlignment="1">
      <alignment vertical="top" wrapText="1"/>
    </xf>
    <xf numFmtId="0" fontId="38" fillId="0" borderId="28" xfId="7" applyFont="1" applyBorder="1" applyAlignment="1">
      <alignment horizontal="right" vertical="top" wrapText="1"/>
    </xf>
    <xf numFmtId="49" fontId="38" fillId="0" borderId="28" xfId="7" applyNumberFormat="1" applyFont="1" applyBorder="1" applyAlignment="1">
      <alignment vertical="top" wrapText="1"/>
    </xf>
    <xf numFmtId="0" fontId="38" fillId="0" borderId="28" xfId="7" applyFont="1" applyBorder="1" applyAlignment="1">
      <alignment vertical="top" wrapText="1"/>
    </xf>
    <xf numFmtId="171" fontId="38" fillId="18" borderId="29" xfId="5" applyNumberFormat="1" applyFont="1" applyFill="1" applyBorder="1" applyAlignment="1">
      <alignment vertical="top" wrapText="1"/>
    </xf>
    <xf numFmtId="171" fontId="38" fillId="0" borderId="0" xfId="5" applyNumberFormat="1" applyFont="1" applyAlignment="1">
      <alignment vertical="top" wrapText="1"/>
    </xf>
    <xf numFmtId="0" fontId="37" fillId="0" borderId="43" xfId="7" applyFont="1" applyBorder="1" applyAlignment="1">
      <alignment vertical="top" wrapText="1"/>
    </xf>
    <xf numFmtId="0" fontId="37" fillId="0" borderId="36" xfId="7" applyFont="1" applyBorder="1" applyAlignment="1">
      <alignment vertical="top" wrapText="1"/>
    </xf>
    <xf numFmtId="171" fontId="37" fillId="0" borderId="37" xfId="5" applyNumberFormat="1" applyFont="1" applyBorder="1" applyAlignment="1">
      <alignment vertical="top" wrapText="1"/>
    </xf>
    <xf numFmtId="0" fontId="38" fillId="0" borderId="20" xfId="7" applyFont="1" applyBorder="1" applyAlignment="1">
      <alignment vertical="top" wrapText="1"/>
    </xf>
    <xf numFmtId="171" fontId="38" fillId="0" borderId="19" xfId="5" applyNumberFormat="1" applyFont="1" applyBorder="1" applyAlignment="1">
      <alignment vertical="top" wrapText="1"/>
    </xf>
    <xf numFmtId="0" fontId="38" fillId="0" borderId="18" xfId="7" applyFont="1" applyBorder="1" applyAlignment="1">
      <alignment vertical="top" wrapText="1"/>
    </xf>
    <xf numFmtId="0" fontId="38" fillId="0" borderId="17" xfId="7" applyFont="1" applyBorder="1" applyAlignment="1">
      <alignment vertical="top" wrapText="1"/>
    </xf>
    <xf numFmtId="171" fontId="38" fillId="0" borderId="16" xfId="5" applyNumberFormat="1" applyFont="1" applyBorder="1" applyAlignment="1">
      <alignment vertical="top" wrapText="1"/>
    </xf>
    <xf numFmtId="0" fontId="37" fillId="0" borderId="15" xfId="7" applyFont="1" applyBorder="1" applyAlignment="1">
      <alignment vertical="top" wrapText="1"/>
    </xf>
    <xf numFmtId="0" fontId="38" fillId="0" borderId="14" xfId="7" applyFont="1" applyBorder="1" applyAlignment="1">
      <alignment vertical="top" wrapText="1"/>
    </xf>
    <xf numFmtId="171" fontId="37" fillId="0" borderId="13" xfId="5" applyNumberFormat="1" applyFont="1" applyBorder="1" applyAlignment="1">
      <alignment vertical="top" wrapText="1"/>
    </xf>
    <xf numFmtId="171" fontId="38" fillId="0" borderId="0" xfId="7" applyNumberFormat="1" applyFont="1" applyAlignment="1">
      <alignment vertical="top" wrapText="1"/>
    </xf>
    <xf numFmtId="0" fontId="77" fillId="0" borderId="0" xfId="0" applyFont="1"/>
    <xf numFmtId="0" fontId="15" fillId="31" borderId="42" xfId="0" applyFont="1" applyFill="1" applyBorder="1" applyAlignment="1">
      <alignment wrapText="1" readingOrder="1"/>
    </xf>
    <xf numFmtId="0" fontId="15" fillId="6" borderId="42" xfId="0" applyFont="1" applyFill="1" applyBorder="1" applyAlignment="1">
      <alignment wrapText="1" readingOrder="1"/>
    </xf>
    <xf numFmtId="0" fontId="0" fillId="6" borderId="0" xfId="0" applyFill="1" applyAlignment="1">
      <alignment wrapText="1"/>
    </xf>
    <xf numFmtId="0" fontId="7" fillId="6" borderId="0" xfId="0" applyFont="1" applyFill="1" applyAlignment="1">
      <alignment vertical="top" wrapText="1"/>
    </xf>
    <xf numFmtId="0" fontId="0" fillId="6" borderId="0" xfId="0" applyFill="1" applyAlignment="1">
      <alignment vertical="top" wrapText="1"/>
    </xf>
    <xf numFmtId="0" fontId="0" fillId="6" borderId="0" xfId="0" applyFill="1" applyAlignment="1">
      <alignment vertical="top"/>
    </xf>
    <xf numFmtId="0" fontId="0" fillId="0" borderId="0" xfId="18" applyNumberFormat="1" applyFont="1"/>
    <xf numFmtId="171" fontId="0" fillId="0" borderId="0" xfId="18" applyNumberFormat="1" applyFont="1"/>
    <xf numFmtId="43" fontId="0" fillId="0" borderId="0" xfId="19" applyFont="1"/>
    <xf numFmtId="0" fontId="9" fillId="6" borderId="0" xfId="14" applyFill="1"/>
    <xf numFmtId="0" fontId="9" fillId="6" borderId="25" xfId="14" applyFill="1" applyBorder="1"/>
    <xf numFmtId="9" fontId="0" fillId="6" borderId="0" xfId="0" applyNumberFormat="1" applyFill="1"/>
    <xf numFmtId="0" fontId="59" fillId="6" borderId="0" xfId="0" applyFont="1" applyFill="1" applyAlignment="1">
      <alignment horizontal="center" vertical="center"/>
    </xf>
    <xf numFmtId="0" fontId="59" fillId="6" borderId="0" xfId="0" applyFont="1" applyFill="1" applyAlignment="1">
      <alignment vertical="center" wrapText="1"/>
    </xf>
    <xf numFmtId="0" fontId="59" fillId="6" borderId="0" xfId="0" applyFont="1" applyFill="1" applyAlignment="1">
      <alignment wrapText="1"/>
    </xf>
    <xf numFmtId="0" fontId="0" fillId="6" borderId="0" xfId="0" applyFill="1" applyAlignment="1">
      <alignment horizontal="center" vertical="center"/>
    </xf>
    <xf numFmtId="0" fontId="0" fillId="6" borderId="0" xfId="0" applyFill="1" applyAlignment="1">
      <alignment horizontal="center" vertical="top"/>
    </xf>
    <xf numFmtId="0" fontId="7" fillId="6" borderId="0" xfId="0" applyFont="1" applyFill="1" applyAlignment="1">
      <alignment vertical="center" wrapText="1"/>
    </xf>
    <xf numFmtId="17" fontId="0" fillId="6" borderId="0" xfId="0" applyNumberFormat="1" applyFill="1" applyAlignment="1">
      <alignment horizontal="center"/>
    </xf>
    <xf numFmtId="0" fontId="0" fillId="6" borderId="0" xfId="0" applyFill="1" applyAlignment="1">
      <alignment horizontal="center"/>
    </xf>
    <xf numFmtId="17" fontId="81" fillId="4" borderId="0" xfId="0" applyNumberFormat="1" applyFont="1" applyFill="1"/>
    <xf numFmtId="0" fontId="0" fillId="6" borderId="0" xfId="0" applyFill="1" applyAlignment="1">
      <alignment horizontal="left"/>
    </xf>
    <xf numFmtId="0" fontId="7" fillId="23" borderId="49" xfId="0" applyFont="1" applyFill="1" applyBorder="1" applyAlignment="1">
      <alignment horizontal="left"/>
    </xf>
    <xf numFmtId="4" fontId="7" fillId="23" borderId="49" xfId="0" applyNumberFormat="1" applyFont="1" applyFill="1" applyBorder="1"/>
    <xf numFmtId="0" fontId="68" fillId="28" borderId="50" xfId="0" applyFont="1" applyFill="1" applyBorder="1"/>
    <xf numFmtId="0" fontId="68" fillId="28" borderId="51" xfId="0" applyFont="1" applyFill="1" applyBorder="1"/>
    <xf numFmtId="0" fontId="68" fillId="28" borderId="52" xfId="0" applyFont="1" applyFill="1" applyBorder="1"/>
    <xf numFmtId="0" fontId="0" fillId="35" borderId="53" xfId="0" applyFill="1" applyBorder="1"/>
    <xf numFmtId="0" fontId="0" fillId="35" borderId="54" xfId="0" applyFill="1" applyBorder="1"/>
    <xf numFmtId="0" fontId="0" fillId="35" borderId="55" xfId="0" applyFill="1" applyBorder="1"/>
    <xf numFmtId="0" fontId="0" fillId="23" borderId="53" xfId="0" applyFill="1" applyBorder="1"/>
    <xf numFmtId="0" fontId="0" fillId="23" borderId="54" xfId="0" applyFill="1" applyBorder="1"/>
    <xf numFmtId="0" fontId="0" fillId="23" borderId="55" xfId="0" applyFill="1" applyBorder="1"/>
    <xf numFmtId="0" fontId="0" fillId="23" borderId="8" xfId="0" applyFill="1" applyBorder="1"/>
    <xf numFmtId="0" fontId="0" fillId="23" borderId="9" xfId="0" applyFill="1" applyBorder="1"/>
    <xf numFmtId="0" fontId="0" fillId="23" borderId="56" xfId="0" applyFill="1" applyBorder="1"/>
    <xf numFmtId="171" fontId="35" fillId="0" borderId="0" xfId="0" applyNumberFormat="1" applyFont="1"/>
    <xf numFmtId="171" fontId="35" fillId="0" borderId="22" xfId="0" applyNumberFormat="1" applyFont="1" applyBorder="1"/>
    <xf numFmtId="171" fontId="0" fillId="0" borderId="40" xfId="0" applyNumberFormat="1" applyBorder="1"/>
    <xf numFmtId="9" fontId="35" fillId="0" borderId="0" xfId="0" applyNumberFormat="1" applyFont="1"/>
    <xf numFmtId="175" fontId="0" fillId="0" borderId="0" xfId="0" applyNumberFormat="1"/>
    <xf numFmtId="171" fontId="29" fillId="4" borderId="0" xfId="0" applyNumberFormat="1" applyFont="1" applyFill="1" applyAlignment="1">
      <alignment wrapText="1"/>
    </xf>
    <xf numFmtId="171" fontId="16" fillId="0" borderId="0" xfId="0" applyNumberFormat="1" applyFont="1"/>
    <xf numFmtId="0" fontId="59"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vertical="top" wrapText="1"/>
    </xf>
    <xf numFmtId="0" fontId="0" fillId="0" borderId="0" xfId="0" applyAlignment="1">
      <alignment horizontal="center" vertical="top"/>
    </xf>
    <xf numFmtId="0" fontId="7" fillId="0" borderId="0" xfId="0" applyFont="1" applyAlignment="1">
      <alignment vertical="center" wrapText="1"/>
    </xf>
    <xf numFmtId="17" fontId="0" fillId="0" borderId="0" xfId="0" applyNumberFormat="1" applyAlignment="1">
      <alignment horizontal="center"/>
    </xf>
    <xf numFmtId="0" fontId="59" fillId="5" borderId="0" xfId="0" applyFont="1" applyFill="1" applyAlignment="1">
      <alignment vertical="center" wrapText="1"/>
    </xf>
    <xf numFmtId="0" fontId="59" fillId="5" borderId="0" xfId="0" applyFont="1" applyFill="1" applyAlignment="1">
      <alignment horizontal="center" vertical="center"/>
    </xf>
    <xf numFmtId="0" fontId="59" fillId="5" borderId="0" xfId="0" applyFont="1" applyFill="1" applyAlignment="1">
      <alignment wrapText="1"/>
    </xf>
    <xf numFmtId="0" fontId="0" fillId="36" borderId="0" xfId="0" applyFill="1"/>
    <xf numFmtId="0" fontId="0" fillId="0" borderId="16" xfId="0" applyBorder="1"/>
    <xf numFmtId="0" fontId="0" fillId="0" borderId="18" xfId="0" applyBorder="1"/>
    <xf numFmtId="0" fontId="0" fillId="0" borderId="19" xfId="0" applyBorder="1"/>
    <xf numFmtId="10" fontId="7" fillId="0" borderId="0" xfId="20" applyNumberFormat="1" applyFont="1" applyBorder="1"/>
    <xf numFmtId="0" fontId="0" fillId="0" borderId="20" xfId="0" applyBorder="1"/>
    <xf numFmtId="177" fontId="0" fillId="0" borderId="0" xfId="0" applyNumberFormat="1"/>
    <xf numFmtId="0" fontId="0" fillId="0" borderId="37" xfId="0" applyBorder="1"/>
    <xf numFmtId="0" fontId="0" fillId="0" borderId="36" xfId="0" applyBorder="1"/>
    <xf numFmtId="177" fontId="0" fillId="0" borderId="36" xfId="0" applyNumberFormat="1" applyBorder="1"/>
    <xf numFmtId="0" fontId="0" fillId="0" borderId="43" xfId="0" applyBorder="1"/>
    <xf numFmtId="177" fontId="7" fillId="0" borderId="19" xfId="0" applyNumberFormat="1" applyFont="1" applyBorder="1"/>
    <xf numFmtId="0" fontId="7" fillId="0" borderId="20" xfId="0" applyFont="1" applyBorder="1"/>
    <xf numFmtId="178" fontId="0" fillId="0" borderId="19" xfId="0" applyNumberFormat="1" applyBorder="1"/>
    <xf numFmtId="171" fontId="0" fillId="0" borderId="37" xfId="19" applyNumberFormat="1" applyFont="1" applyBorder="1"/>
    <xf numFmtId="0" fontId="23" fillId="0" borderId="0" xfId="0" applyFont="1" applyAlignment="1">
      <alignment horizontal="left"/>
    </xf>
    <xf numFmtId="0" fontId="0" fillId="0" borderId="16" xfId="0" applyBorder="1" applyAlignment="1">
      <alignment horizontal="center"/>
    </xf>
    <xf numFmtId="0" fontId="0" fillId="0" borderId="17" xfId="0" applyBorder="1" applyAlignment="1">
      <alignment horizontal="center"/>
    </xf>
    <xf numFmtId="0" fontId="7" fillId="0" borderId="19" xfId="0" applyFont="1" applyBorder="1" applyAlignment="1">
      <alignment horizontal="left"/>
    </xf>
    <xf numFmtId="171" fontId="7" fillId="0" borderId="0" xfId="19" applyNumberFormat="1" applyFont="1" applyBorder="1" applyAlignment="1">
      <alignment horizontal="center"/>
    </xf>
    <xf numFmtId="0" fontId="0" fillId="0" borderId="19" xfId="0" applyBorder="1" applyAlignment="1">
      <alignment horizontal="center"/>
    </xf>
    <xf numFmtId="0" fontId="0" fillId="0" borderId="19" xfId="0" applyBorder="1" applyAlignment="1">
      <alignment horizontal="left"/>
    </xf>
    <xf numFmtId="0" fontId="0" fillId="0" borderId="37" xfId="0" applyBorder="1" applyAlignment="1">
      <alignment horizontal="center"/>
    </xf>
    <xf numFmtId="0" fontId="0" fillId="0" borderId="36" xfId="0" applyBorder="1" applyAlignment="1">
      <alignment horizontal="center"/>
    </xf>
    <xf numFmtId="164" fontId="0" fillId="0" borderId="0" xfId="0" applyNumberFormat="1" applyAlignment="1">
      <alignment horizontal="center"/>
    </xf>
    <xf numFmtId="0" fontId="0" fillId="0" borderId="0" xfId="0" applyAlignment="1">
      <alignment horizontal="left" indent="1"/>
    </xf>
    <xf numFmtId="0" fontId="0" fillId="0" borderId="18" xfId="0" applyBorder="1" applyAlignment="1">
      <alignment horizontal="left" indent="1"/>
    </xf>
    <xf numFmtId="2" fontId="0" fillId="0" borderId="0" xfId="0" applyNumberFormat="1" applyAlignment="1">
      <alignment horizontal="center"/>
    </xf>
    <xf numFmtId="0" fontId="0" fillId="0" borderId="20" xfId="0" applyBorder="1" applyAlignment="1">
      <alignment horizontal="left" indent="1"/>
    </xf>
    <xf numFmtId="0" fontId="7" fillId="0" borderId="43" xfId="0" applyFont="1" applyBorder="1" applyAlignment="1">
      <alignment horizontal="left" indent="1"/>
    </xf>
    <xf numFmtId="9" fontId="0" fillId="0" borderId="0" xfId="20" applyFont="1" applyBorder="1" applyAlignment="1">
      <alignment horizontal="center"/>
    </xf>
    <xf numFmtId="0" fontId="7" fillId="0" borderId="43" xfId="0" applyFont="1" applyBorder="1" applyAlignment="1">
      <alignment horizontal="left"/>
    </xf>
    <xf numFmtId="179" fontId="0" fillId="0" borderId="16" xfId="0" applyNumberFormat="1" applyBorder="1" applyAlignment="1">
      <alignment horizontal="center"/>
    </xf>
    <xf numFmtId="179" fontId="0" fillId="0" borderId="19" xfId="0" applyNumberFormat="1" applyBorder="1" applyAlignment="1">
      <alignment horizontal="center"/>
    </xf>
    <xf numFmtId="179" fontId="0" fillId="0" borderId="0" xfId="0" applyNumberFormat="1" applyAlignment="1">
      <alignment horizontal="center"/>
    </xf>
    <xf numFmtId="179" fontId="0" fillId="0" borderId="37" xfId="0" applyNumberFormat="1" applyBorder="1" applyAlignment="1">
      <alignment horizontal="center"/>
    </xf>
    <xf numFmtId="179" fontId="0" fillId="0" borderId="36" xfId="0" applyNumberFormat="1" applyBorder="1" applyAlignment="1">
      <alignment horizontal="center"/>
    </xf>
    <xf numFmtId="0" fontId="0" fillId="0" borderId="43" xfId="0" applyBorder="1" applyAlignment="1">
      <alignment horizontal="left" indent="1"/>
    </xf>
    <xf numFmtId="0" fontId="7" fillId="0" borderId="10" xfId="0" applyFont="1" applyBorder="1" applyAlignment="1">
      <alignment horizontal="center" vertical="center"/>
    </xf>
    <xf numFmtId="0" fontId="85" fillId="0" borderId="63" xfId="0" applyFont="1" applyBorder="1" applyAlignment="1">
      <alignment horizontal="center" vertical="center"/>
    </xf>
    <xf numFmtId="0" fontId="85" fillId="0" borderId="63" xfId="0" applyFont="1" applyBorder="1" applyAlignment="1">
      <alignment horizontal="left"/>
    </xf>
    <xf numFmtId="0" fontId="86" fillId="0" borderId="0" xfId="0" applyFont="1"/>
    <xf numFmtId="0" fontId="87" fillId="37" borderId="0" xfId="0" applyFont="1" applyFill="1" applyAlignment="1">
      <alignment wrapText="1"/>
    </xf>
    <xf numFmtId="0" fontId="88" fillId="37" borderId="0" xfId="0" applyFont="1" applyFill="1" applyAlignment="1">
      <alignment wrapText="1" readingOrder="1"/>
    </xf>
    <xf numFmtId="0" fontId="89" fillId="37" borderId="0" xfId="0" applyFont="1" applyFill="1" applyAlignment="1">
      <alignment wrapText="1"/>
    </xf>
    <xf numFmtId="0" fontId="71" fillId="37" borderId="0" xfId="0" applyFont="1" applyFill="1" applyAlignment="1">
      <alignment wrapText="1" readingOrder="1"/>
    </xf>
    <xf numFmtId="14" fontId="71" fillId="37" borderId="0" xfId="0" applyNumberFormat="1" applyFont="1" applyFill="1" applyAlignment="1">
      <alignment wrapText="1" readingOrder="1"/>
    </xf>
    <xf numFmtId="0" fontId="87" fillId="0" borderId="0" xfId="0" applyFont="1" applyAlignment="1">
      <alignment wrapText="1"/>
    </xf>
    <xf numFmtId="0" fontId="88" fillId="0" borderId="0" xfId="0" applyFont="1" applyAlignment="1">
      <alignment wrapText="1" readingOrder="1"/>
    </xf>
    <xf numFmtId="0" fontId="89" fillId="0" borderId="0" xfId="0" applyFont="1" applyAlignment="1">
      <alignment wrapText="1"/>
    </xf>
    <xf numFmtId="0" fontId="71" fillId="0" borderId="0" xfId="0" applyFont="1" applyAlignment="1">
      <alignment wrapText="1" readingOrder="1"/>
    </xf>
    <xf numFmtId="14" fontId="71" fillId="0" borderId="0" xfId="0" applyNumberFormat="1" applyFont="1" applyAlignment="1">
      <alignment wrapText="1" readingOrder="1"/>
    </xf>
    <xf numFmtId="0" fontId="87" fillId="0" borderId="0" xfId="0" applyFont="1"/>
    <xf numFmtId="14" fontId="87" fillId="0" borderId="0" xfId="0" applyNumberFormat="1" applyFont="1"/>
    <xf numFmtId="0" fontId="87" fillId="37" borderId="0" xfId="0" applyFont="1" applyFill="1"/>
    <xf numFmtId="14" fontId="87" fillId="37" borderId="0" xfId="0" applyNumberFormat="1" applyFont="1" applyFill="1"/>
    <xf numFmtId="0" fontId="86" fillId="37" borderId="0" xfId="0" applyFont="1" applyFill="1"/>
    <xf numFmtId="0" fontId="90" fillId="0" borderId="0" xfId="0" applyFont="1"/>
    <xf numFmtId="0" fontId="91" fillId="0" borderId="0" xfId="0" applyFont="1" applyAlignment="1">
      <alignment wrapText="1" readingOrder="1"/>
    </xf>
    <xf numFmtId="0" fontId="92" fillId="0" borderId="0" xfId="0" applyFont="1"/>
    <xf numFmtId="0" fontId="93" fillId="0" borderId="57" xfId="0" applyFont="1" applyBorder="1" applyAlignment="1">
      <alignment wrapText="1" readingOrder="1"/>
    </xf>
    <xf numFmtId="0" fontId="93" fillId="0" borderId="58" xfId="0" applyFont="1" applyBorder="1" applyAlignment="1">
      <alignment wrapText="1" readingOrder="1"/>
    </xf>
    <xf numFmtId="0" fontId="89" fillId="0" borderId="62" xfId="0" applyFont="1" applyBorder="1" applyAlignment="1">
      <alignment wrapText="1"/>
    </xf>
    <xf numFmtId="0" fontId="71" fillId="0" borderId="61" xfId="0" applyFont="1" applyBorder="1" applyAlignment="1">
      <alignment wrapText="1" readingOrder="1"/>
    </xf>
    <xf numFmtId="0" fontId="71" fillId="0" borderId="58" xfId="0" applyFont="1" applyBorder="1" applyAlignment="1">
      <alignment wrapText="1" readingOrder="1"/>
    </xf>
    <xf numFmtId="0" fontId="89" fillId="0" borderId="0" xfId="0" applyFont="1"/>
    <xf numFmtId="0" fontId="89" fillId="0" borderId="61" xfId="0" applyFont="1" applyBorder="1" applyAlignment="1">
      <alignment wrapText="1"/>
    </xf>
    <xf numFmtId="14" fontId="71" fillId="0" borderId="61" xfId="0" applyNumberFormat="1" applyFont="1" applyBorder="1" applyAlignment="1">
      <alignment wrapText="1" readingOrder="1"/>
    </xf>
    <xf numFmtId="14" fontId="71" fillId="0" borderId="60" xfId="0" applyNumberFormat="1" applyFont="1" applyBorder="1" applyAlignment="1">
      <alignment wrapText="1" readingOrder="1"/>
    </xf>
    <xf numFmtId="1" fontId="0" fillId="0" borderId="17" xfId="20" applyNumberFormat="1" applyFont="1" applyBorder="1" applyAlignment="1">
      <alignment horizontal="right"/>
    </xf>
    <xf numFmtId="1" fontId="0" fillId="0" borderId="0" xfId="20" applyNumberFormat="1" applyFont="1" applyAlignment="1">
      <alignment horizontal="right"/>
    </xf>
    <xf numFmtId="0" fontId="95" fillId="0" borderId="0" xfId="0" applyFont="1" applyAlignment="1">
      <alignment horizontal="right"/>
    </xf>
    <xf numFmtId="9" fontId="95" fillId="0" borderId="0" xfId="0" applyNumberFormat="1" applyFont="1" applyAlignment="1">
      <alignment horizontal="right"/>
    </xf>
    <xf numFmtId="3" fontId="95" fillId="0" borderId="0" xfId="0" applyNumberFormat="1" applyFont="1" applyAlignment="1">
      <alignment horizontal="right"/>
    </xf>
    <xf numFmtId="3" fontId="25" fillId="27" borderId="0" xfId="0" applyNumberFormat="1" applyFont="1" applyFill="1"/>
    <xf numFmtId="3" fontId="96" fillId="0" borderId="0" xfId="0" applyNumberFormat="1" applyFont="1"/>
    <xf numFmtId="3" fontId="96" fillId="27" borderId="0" xfId="0" applyNumberFormat="1" applyFont="1" applyFill="1"/>
    <xf numFmtId="3" fontId="25" fillId="0" borderId="0" xfId="0" applyNumberFormat="1" applyFont="1"/>
    <xf numFmtId="4" fontId="0" fillId="0" borderId="0" xfId="0" applyNumberFormat="1" applyAlignment="1">
      <alignment horizontal="right" vertical="top"/>
    </xf>
    <xf numFmtId="0" fontId="97" fillId="0" borderId="0" xfId="0" applyFont="1"/>
    <xf numFmtId="0" fontId="6" fillId="0" borderId="0" xfId="0" applyFont="1" applyAlignment="1">
      <alignment horizontal="left"/>
    </xf>
    <xf numFmtId="4" fontId="6" fillId="0" borderId="0" xfId="0" applyNumberFormat="1" applyFont="1"/>
    <xf numFmtId="0" fontId="0" fillId="0" borderId="30" xfId="0" applyBorder="1"/>
    <xf numFmtId="0" fontId="0" fillId="0" borderId="31" xfId="0" applyBorder="1"/>
    <xf numFmtId="0" fontId="7" fillId="0" borderId="31" xfId="0" applyFont="1" applyBorder="1"/>
    <xf numFmtId="0" fontId="7" fillId="0" borderId="32" xfId="0" applyFont="1" applyBorder="1"/>
    <xf numFmtId="0" fontId="0" fillId="0" borderId="33" xfId="0" applyBorder="1"/>
    <xf numFmtId="43" fontId="0" fillId="0" borderId="0" xfId="0" applyNumberFormat="1"/>
    <xf numFmtId="4" fontId="0" fillId="0" borderId="34" xfId="0" applyNumberFormat="1" applyBorder="1"/>
    <xf numFmtId="43" fontId="0" fillId="0" borderId="34" xfId="0" applyNumberFormat="1" applyBorder="1"/>
    <xf numFmtId="0" fontId="0" fillId="0" borderId="34" xfId="0" applyBorder="1"/>
    <xf numFmtId="0" fontId="0" fillId="0" borderId="64" xfId="0" applyBorder="1"/>
    <xf numFmtId="0" fontId="0" fillId="0" borderId="65" xfId="0" applyBorder="1"/>
    <xf numFmtId="43" fontId="0" fillId="0" borderId="31" xfId="0" applyNumberFormat="1" applyBorder="1"/>
    <xf numFmtId="43" fontId="0" fillId="0" borderId="32" xfId="0" applyNumberFormat="1" applyBorder="1"/>
    <xf numFmtId="43" fontId="0" fillId="0" borderId="22" xfId="0" applyNumberFormat="1" applyBorder="1"/>
    <xf numFmtId="0" fontId="0" fillId="0" borderId="32" xfId="0" applyBorder="1"/>
    <xf numFmtId="9" fontId="35" fillId="0" borderId="0" xfId="2" applyFont="1" applyFill="1"/>
    <xf numFmtId="0" fontId="80" fillId="0" borderId="17" xfId="0" applyFont="1" applyBorder="1" applyAlignment="1">
      <alignment horizontal="center" wrapText="1"/>
    </xf>
    <xf numFmtId="4" fontId="80" fillId="0" borderId="17" xfId="0" applyNumberFormat="1" applyFont="1" applyBorder="1" applyAlignment="1">
      <alignment horizontal="center" wrapText="1"/>
    </xf>
    <xf numFmtId="176" fontId="80" fillId="0" borderId="17" xfId="0" applyNumberFormat="1" applyFont="1" applyBorder="1" applyAlignment="1">
      <alignment horizontal="center" wrapText="1"/>
    </xf>
    <xf numFmtId="176" fontId="0" fillId="0" borderId="0" xfId="0" applyNumberFormat="1"/>
    <xf numFmtId="4" fontId="16" fillId="0" borderId="0" xfId="0" applyNumberFormat="1" applyFont="1"/>
    <xf numFmtId="176" fontId="0" fillId="0" borderId="43" xfId="0" applyNumberFormat="1" applyBorder="1"/>
    <xf numFmtId="0" fontId="7" fillId="0" borderId="36" xfId="0" applyFont="1" applyBorder="1"/>
    <xf numFmtId="0" fontId="7" fillId="0" borderId="37" xfId="0" applyFont="1" applyBorder="1"/>
    <xf numFmtId="176" fontId="7" fillId="0" borderId="20" xfId="0" applyNumberFormat="1" applyFont="1" applyBorder="1"/>
    <xf numFmtId="3" fontId="35" fillId="0" borderId="19" xfId="0" applyNumberFormat="1" applyFont="1" applyBorder="1"/>
    <xf numFmtId="4" fontId="0" fillId="0" borderId="19" xfId="0" applyNumberFormat="1" applyBorder="1"/>
    <xf numFmtId="176" fontId="7" fillId="0" borderId="18" xfId="0" applyNumberFormat="1" applyFont="1" applyBorder="1" applyAlignment="1">
      <alignment wrapText="1"/>
    </xf>
    <xf numFmtId="4" fontId="0" fillId="0" borderId="17" xfId="0" applyNumberFormat="1" applyBorder="1"/>
    <xf numFmtId="3" fontId="35" fillId="0" borderId="16" xfId="0" applyNumberFormat="1" applyFont="1" applyBorder="1"/>
    <xf numFmtId="0" fontId="99" fillId="0" borderId="0" xfId="0" applyFont="1"/>
    <xf numFmtId="4" fontId="0" fillId="6" borderId="0" xfId="0" applyNumberFormat="1" applyFill="1"/>
    <xf numFmtId="0" fontId="20" fillId="0" borderId="0" xfId="0" applyFont="1"/>
    <xf numFmtId="0" fontId="0" fillId="4" borderId="0" xfId="0" applyFill="1"/>
    <xf numFmtId="0" fontId="68" fillId="0" borderId="0" xfId="0" applyFont="1" applyAlignment="1">
      <alignment wrapText="1"/>
    </xf>
    <xf numFmtId="17" fontId="6" fillId="0" borderId="0" xfId="0" applyNumberFormat="1" applyFont="1"/>
    <xf numFmtId="0" fontId="60" fillId="0" borderId="25" xfId="0" applyFont="1" applyBorder="1" applyAlignment="1">
      <alignment horizontal="left" wrapText="1"/>
    </xf>
    <xf numFmtId="174" fontId="60" fillId="0" borderId="25" xfId="0" applyNumberFormat="1" applyFont="1" applyBorder="1" applyAlignment="1">
      <alignment wrapText="1"/>
    </xf>
    <xf numFmtId="174" fontId="60" fillId="18" borderId="25" xfId="0" applyNumberFormat="1" applyFont="1" applyFill="1" applyBorder="1" applyAlignment="1">
      <alignment horizontal="right" wrapText="1"/>
    </xf>
    <xf numFmtId="0" fontId="38" fillId="0" borderId="0" xfId="0" applyFont="1" applyAlignment="1">
      <alignment wrapText="1"/>
    </xf>
    <xf numFmtId="173" fontId="0" fillId="0" borderId="0" xfId="0" applyNumberFormat="1"/>
    <xf numFmtId="0" fontId="100" fillId="0" borderId="10" xfId="0" applyFont="1" applyBorder="1" applyAlignment="1">
      <alignment vertical="top"/>
    </xf>
    <xf numFmtId="0" fontId="0" fillId="0" borderId="0" xfId="0" applyAlignment="1">
      <alignment horizontal="left" vertical="top"/>
    </xf>
    <xf numFmtId="43" fontId="0" fillId="0" borderId="0" xfId="0" applyNumberFormat="1" applyAlignment="1">
      <alignment vertical="top"/>
    </xf>
    <xf numFmtId="0" fontId="16" fillId="38" borderId="10" xfId="0" applyFont="1" applyFill="1" applyBorder="1" applyAlignment="1">
      <alignment vertical="top" wrapText="1"/>
    </xf>
    <xf numFmtId="0" fontId="0" fillId="32" borderId="0" xfId="0" applyFill="1" applyAlignment="1">
      <alignment horizontal="left" vertical="top"/>
    </xf>
    <xf numFmtId="43" fontId="0" fillId="32" borderId="0" xfId="0" applyNumberFormat="1" applyFill="1" applyAlignment="1">
      <alignment vertical="top"/>
    </xf>
    <xf numFmtId="0" fontId="0" fillId="6" borderId="0" xfId="0" applyFill="1" applyAlignment="1">
      <alignment horizontal="left" vertical="top"/>
    </xf>
    <xf numFmtId="43" fontId="0" fillId="6" borderId="0" xfId="0" applyNumberFormat="1" applyFill="1" applyAlignment="1">
      <alignment vertical="top"/>
    </xf>
    <xf numFmtId="0" fontId="0" fillId="38" borderId="0" xfId="0" applyFill="1" applyAlignment="1">
      <alignment horizontal="left" vertical="top"/>
    </xf>
    <xf numFmtId="43" fontId="0" fillId="38" borderId="0" xfId="0" applyNumberFormat="1" applyFill="1" applyAlignment="1">
      <alignment vertical="top"/>
    </xf>
    <xf numFmtId="0" fontId="0" fillId="38" borderId="0" xfId="0" applyFill="1" applyAlignment="1">
      <alignment vertical="top"/>
    </xf>
    <xf numFmtId="0" fontId="0" fillId="32" borderId="0" xfId="0" applyFill="1" applyAlignment="1">
      <alignment vertical="top"/>
    </xf>
    <xf numFmtId="43" fontId="6" fillId="0" borderId="0" xfId="0" applyNumberFormat="1" applyFont="1" applyAlignment="1">
      <alignment vertical="top"/>
    </xf>
    <xf numFmtId="0" fontId="51" fillId="39" borderId="0" xfId="0" applyFont="1" applyFill="1" applyAlignment="1">
      <alignment vertical="top"/>
    </xf>
    <xf numFmtId="0" fontId="51" fillId="39" borderId="66" xfId="0" applyFont="1" applyFill="1" applyBorder="1" applyAlignment="1">
      <alignment vertical="top"/>
    </xf>
    <xf numFmtId="0" fontId="69" fillId="39" borderId="67" xfId="0" applyFont="1" applyFill="1" applyBorder="1" applyAlignment="1">
      <alignment vertical="top"/>
    </xf>
    <xf numFmtId="43" fontId="0" fillId="0" borderId="68" xfId="0" applyNumberFormat="1" applyBorder="1" applyAlignment="1">
      <alignment vertical="top"/>
    </xf>
    <xf numFmtId="0" fontId="51" fillId="39" borderId="49" xfId="0" applyFont="1" applyFill="1" applyBorder="1" applyAlignment="1">
      <alignment horizontal="left" vertical="top"/>
    </xf>
    <xf numFmtId="43" fontId="51" fillId="39" borderId="49" xfId="0" applyNumberFormat="1" applyFont="1" applyFill="1" applyBorder="1" applyAlignment="1">
      <alignment vertical="top"/>
    </xf>
    <xf numFmtId="0" fontId="7" fillId="38" borderId="0" xfId="0" applyFont="1" applyFill="1" applyAlignment="1">
      <alignment vertical="top"/>
    </xf>
    <xf numFmtId="0" fontId="51" fillId="39" borderId="10" xfId="0" applyFont="1" applyFill="1" applyBorder="1" applyAlignment="1">
      <alignment vertical="top"/>
    </xf>
    <xf numFmtId="3" fontId="16" fillId="0" borderId="0" xfId="0" applyNumberFormat="1" applyFont="1" applyAlignment="1">
      <alignment vertical="top"/>
    </xf>
    <xf numFmtId="0" fontId="0" fillId="0" borderId="10" xfId="0" applyBorder="1" applyAlignment="1">
      <alignment vertical="top"/>
    </xf>
    <xf numFmtId="43" fontId="0" fillId="0" borderId="10" xfId="19" applyFont="1" applyBorder="1" applyAlignment="1">
      <alignment vertical="top"/>
    </xf>
    <xf numFmtId="3" fontId="72" fillId="0" borderId="0" xfId="0" applyNumberFormat="1" applyFont="1" applyAlignment="1">
      <alignment vertical="top"/>
    </xf>
    <xf numFmtId="0" fontId="16" fillId="0" borderId="0" xfId="0" applyFont="1" applyAlignment="1">
      <alignment vertical="top"/>
    </xf>
    <xf numFmtId="10" fontId="0" fillId="0" borderId="0" xfId="0" applyNumberFormat="1" applyAlignment="1">
      <alignment vertical="top"/>
    </xf>
    <xf numFmtId="167" fontId="0" fillId="0" borderId="0" xfId="0" applyNumberFormat="1" applyAlignment="1">
      <alignment vertical="top"/>
    </xf>
    <xf numFmtId="0" fontId="72" fillId="0" borderId="0" xfId="0" applyFont="1" applyAlignment="1">
      <alignment vertical="top"/>
    </xf>
    <xf numFmtId="0" fontId="0" fillId="40" borderId="0" xfId="0" applyFill="1" applyAlignment="1">
      <alignment vertical="top"/>
    </xf>
    <xf numFmtId="3" fontId="0" fillId="40" borderId="0" xfId="0" applyNumberFormat="1" applyFill="1" applyAlignment="1">
      <alignment vertical="top"/>
    </xf>
    <xf numFmtId="43" fontId="0" fillId="40" borderId="68" xfId="0" applyNumberFormat="1" applyFill="1" applyBorder="1" applyAlignment="1">
      <alignment vertical="top"/>
    </xf>
    <xf numFmtId="3" fontId="72" fillId="38" borderId="0" xfId="0" applyNumberFormat="1" applyFont="1" applyFill="1" applyAlignment="1">
      <alignment vertical="top"/>
    </xf>
    <xf numFmtId="43" fontId="0" fillId="38" borderId="68" xfId="0" applyNumberFormat="1" applyFill="1" applyBorder="1" applyAlignment="1">
      <alignment vertical="top"/>
    </xf>
    <xf numFmtId="3" fontId="16" fillId="38" borderId="0" xfId="0" applyNumberFormat="1" applyFont="1" applyFill="1" applyAlignment="1">
      <alignment vertical="top"/>
    </xf>
    <xf numFmtId="181" fontId="0" fillId="6" borderId="0" xfId="0" applyNumberFormat="1" applyFill="1" applyAlignment="1">
      <alignment vertical="top"/>
    </xf>
    <xf numFmtId="0" fontId="7" fillId="41" borderId="10" xfId="0" applyFont="1" applyFill="1" applyBorder="1" applyAlignment="1">
      <alignment vertical="top"/>
    </xf>
    <xf numFmtId="43" fontId="7" fillId="41" borderId="10" xfId="19" applyFont="1" applyFill="1" applyBorder="1" applyAlignment="1">
      <alignment vertical="top"/>
    </xf>
    <xf numFmtId="43" fontId="0" fillId="41" borderId="10" xfId="19" applyFont="1" applyFill="1" applyBorder="1" applyAlignment="1">
      <alignment vertical="top"/>
    </xf>
    <xf numFmtId="43" fontId="7" fillId="0" borderId="10" xfId="19" applyFont="1" applyBorder="1" applyAlignment="1">
      <alignment vertical="top"/>
    </xf>
    <xf numFmtId="182" fontId="0" fillId="6" borderId="0" xfId="0" applyNumberFormat="1" applyFill="1" applyAlignment="1">
      <alignment vertical="top"/>
    </xf>
    <xf numFmtId="4" fontId="6" fillId="6" borderId="0" xfId="0" applyNumberFormat="1" applyFont="1" applyFill="1"/>
    <xf numFmtId="0" fontId="7" fillId="42" borderId="0" xfId="0" applyFont="1" applyFill="1"/>
    <xf numFmtId="0" fontId="0" fillId="42" borderId="0" xfId="0" applyFill="1"/>
    <xf numFmtId="0" fontId="68" fillId="21" borderId="0" xfId="0" applyFont="1" applyFill="1"/>
    <xf numFmtId="0" fontId="68" fillId="42" borderId="0" xfId="0" applyFont="1" applyFill="1"/>
    <xf numFmtId="43" fontId="6" fillId="0" borderId="0" xfId="19" applyFont="1"/>
    <xf numFmtId="2" fontId="0" fillId="0" borderId="0" xfId="0" applyNumberFormat="1" applyAlignment="1">
      <alignment vertical="top"/>
    </xf>
    <xf numFmtId="169" fontId="0" fillId="0" borderId="0" xfId="0" applyNumberFormat="1" applyAlignment="1">
      <alignment vertical="top"/>
    </xf>
    <xf numFmtId="169" fontId="66" fillId="0" borderId="0" xfId="0" applyNumberFormat="1" applyFont="1" applyAlignment="1">
      <alignment vertical="top"/>
    </xf>
    <xf numFmtId="0" fontId="38" fillId="0" borderId="0" xfId="7" applyFont="1"/>
    <xf numFmtId="0" fontId="38" fillId="23" borderId="25" xfId="7" applyFont="1" applyFill="1" applyBorder="1" applyAlignment="1">
      <alignment horizontal="left"/>
    </xf>
    <xf numFmtId="10" fontId="38" fillId="0" borderId="0" xfId="7" applyNumberFormat="1" applyFont="1" applyAlignment="1">
      <alignment wrapText="1"/>
    </xf>
    <xf numFmtId="9" fontId="25" fillId="0" borderId="0" xfId="0" applyNumberFormat="1" applyFont="1"/>
    <xf numFmtId="2" fontId="25" fillId="0" borderId="0" xfId="0" applyNumberFormat="1" applyFont="1"/>
    <xf numFmtId="172" fontId="63" fillId="0" borderId="0" xfId="7" applyNumberFormat="1" applyFont="1" applyAlignment="1">
      <alignment wrapText="1"/>
    </xf>
    <xf numFmtId="0" fontId="63" fillId="0" borderId="28" xfId="7" applyFont="1" applyBorder="1" applyAlignment="1">
      <alignment horizontal="right" wrapText="1"/>
    </xf>
    <xf numFmtId="49" fontId="63" fillId="0" borderId="28" xfId="7" applyNumberFormat="1" applyFont="1" applyBorder="1" applyAlignment="1">
      <alignment wrapText="1"/>
    </xf>
    <xf numFmtId="0" fontId="63" fillId="0" borderId="28" xfId="7" applyFont="1" applyBorder="1" applyAlignment="1">
      <alignment horizontal="left"/>
    </xf>
    <xf numFmtId="0" fontId="63" fillId="0" borderId="28" xfId="7" applyFont="1" applyBorder="1" applyAlignment="1">
      <alignment wrapText="1"/>
    </xf>
    <xf numFmtId="0" fontId="63" fillId="0" borderId="0" xfId="7" applyFont="1" applyAlignment="1">
      <alignment wrapText="1"/>
    </xf>
    <xf numFmtId="0" fontId="63" fillId="43" borderId="28" xfId="7" applyFont="1" applyFill="1" applyBorder="1" applyAlignment="1">
      <alignment horizontal="right" wrapText="1"/>
    </xf>
    <xf numFmtId="49" fontId="63" fillId="43" borderId="28" xfId="7" applyNumberFormat="1" applyFont="1" applyFill="1" applyBorder="1" applyAlignment="1">
      <alignment wrapText="1"/>
    </xf>
    <xf numFmtId="0" fontId="63" fillId="43" borderId="28" xfId="7" applyFont="1" applyFill="1" applyBorder="1" applyAlignment="1">
      <alignment horizontal="left"/>
    </xf>
    <xf numFmtId="0" fontId="63" fillId="43" borderId="28" xfId="7" applyFont="1" applyFill="1" applyBorder="1" applyAlignment="1">
      <alignment wrapText="1"/>
    </xf>
    <xf numFmtId="0" fontId="38" fillId="43" borderId="0" xfId="7" applyFont="1" applyFill="1" applyAlignment="1">
      <alignment wrapText="1"/>
    </xf>
    <xf numFmtId="172" fontId="63" fillId="43" borderId="0" xfId="7" applyNumberFormat="1" applyFont="1" applyFill="1" applyAlignment="1">
      <alignment wrapText="1"/>
    </xf>
    <xf numFmtId="0" fontId="38" fillId="43" borderId="47" xfId="7" applyFont="1" applyFill="1" applyBorder="1" applyAlignment="1">
      <alignment horizontal="right" wrapText="1"/>
    </xf>
    <xf numFmtId="49" fontId="38" fillId="43" borderId="47" xfId="7" applyNumberFormat="1" applyFont="1" applyFill="1" applyBorder="1" applyAlignment="1">
      <alignment wrapText="1"/>
    </xf>
    <xf numFmtId="0" fontId="38" fillId="43" borderId="47" xfId="7" applyFont="1" applyFill="1" applyBorder="1" applyAlignment="1">
      <alignment horizontal="left"/>
    </xf>
    <xf numFmtId="0" fontId="0" fillId="23" borderId="69" xfId="0" applyFill="1" applyBorder="1"/>
    <xf numFmtId="0" fontId="101" fillId="0" borderId="0" xfId="7" applyFont="1" applyAlignment="1">
      <alignment wrapText="1"/>
    </xf>
    <xf numFmtId="0" fontId="102" fillId="0" borderId="0" xfId="7" applyFont="1" applyAlignment="1">
      <alignment wrapText="1"/>
    </xf>
    <xf numFmtId="0" fontId="103" fillId="44" borderId="15" xfId="0" applyFont="1" applyFill="1" applyBorder="1" applyAlignment="1">
      <alignment horizontal="center"/>
    </xf>
    <xf numFmtId="0" fontId="92" fillId="45" borderId="70" xfId="0" applyFont="1" applyFill="1" applyBorder="1" applyAlignment="1">
      <alignment vertical="center"/>
    </xf>
    <xf numFmtId="0" fontId="90" fillId="45" borderId="71" xfId="0" applyFont="1" applyFill="1" applyBorder="1" applyAlignment="1">
      <alignment vertical="center"/>
    </xf>
    <xf numFmtId="0" fontId="90" fillId="45" borderId="72" xfId="0" applyFont="1" applyFill="1" applyBorder="1" applyAlignment="1">
      <alignment vertical="center"/>
    </xf>
    <xf numFmtId="0" fontId="90" fillId="45" borderId="0" xfId="0" applyFont="1" applyFill="1"/>
    <xf numFmtId="0" fontId="90" fillId="45" borderId="0" xfId="0" applyFont="1" applyFill="1" applyAlignment="1">
      <alignment horizontal="center"/>
    </xf>
    <xf numFmtId="9" fontId="90" fillId="46" borderId="68" xfId="0" applyNumberFormat="1" applyFont="1" applyFill="1" applyBorder="1"/>
    <xf numFmtId="9" fontId="90" fillId="46" borderId="20" xfId="0" applyNumberFormat="1" applyFont="1" applyFill="1" applyBorder="1"/>
    <xf numFmtId="9" fontId="90" fillId="46" borderId="19" xfId="0" applyNumberFormat="1" applyFont="1" applyFill="1" applyBorder="1"/>
    <xf numFmtId="0" fontId="90" fillId="45" borderId="22" xfId="0" applyFont="1" applyFill="1" applyBorder="1"/>
    <xf numFmtId="0" fontId="90" fillId="45" borderId="22" xfId="0" applyFont="1" applyFill="1" applyBorder="1" applyAlignment="1">
      <alignment horizontal="center"/>
    </xf>
    <xf numFmtId="9" fontId="90" fillId="46" borderId="73" xfId="0" applyNumberFormat="1" applyFont="1" applyFill="1" applyBorder="1"/>
    <xf numFmtId="9" fontId="90" fillId="46" borderId="74" xfId="0" applyNumberFormat="1" applyFont="1" applyFill="1" applyBorder="1"/>
    <xf numFmtId="9" fontId="90" fillId="46" borderId="75" xfId="0" applyNumberFormat="1" applyFont="1" applyFill="1" applyBorder="1"/>
    <xf numFmtId="0" fontId="92" fillId="45" borderId="0" xfId="0" applyFont="1" applyFill="1" applyAlignment="1">
      <alignment horizontal="center"/>
    </xf>
    <xf numFmtId="0" fontId="92" fillId="45" borderId="0" xfId="0" applyFont="1" applyFill="1"/>
    <xf numFmtId="171" fontId="9" fillId="6" borderId="0" xfId="14" applyNumberFormat="1" applyFill="1"/>
    <xf numFmtId="3" fontId="9" fillId="6" borderId="0" xfId="14" applyNumberFormat="1" applyFill="1"/>
    <xf numFmtId="1" fontId="9" fillId="6" borderId="0" xfId="14" applyNumberFormat="1" applyFill="1"/>
    <xf numFmtId="0" fontId="105" fillId="8" borderId="17" xfId="0" applyFont="1" applyFill="1" applyBorder="1" applyAlignment="1">
      <alignment wrapText="1"/>
    </xf>
    <xf numFmtId="0" fontId="106" fillId="0" borderId="0" xfId="0" applyFont="1"/>
    <xf numFmtId="0" fontId="16" fillId="0" borderId="79" xfId="0" applyFont="1" applyBorder="1"/>
    <xf numFmtId="3" fontId="16" fillId="0" borderId="0" xfId="0" applyNumberFormat="1" applyFont="1"/>
    <xf numFmtId="0" fontId="16" fillId="0" borderId="80" xfId="0" applyFont="1" applyBorder="1"/>
    <xf numFmtId="0" fontId="105" fillId="8" borderId="76" xfId="0" applyFont="1" applyFill="1" applyBorder="1" applyAlignment="1">
      <alignment vertical="top" wrapText="1"/>
    </xf>
    <xf numFmtId="0" fontId="105" fillId="8" borderId="77" xfId="0" applyFont="1" applyFill="1" applyBorder="1" applyAlignment="1">
      <alignment vertical="top" wrapText="1"/>
    </xf>
    <xf numFmtId="0" fontId="105" fillId="8" borderId="78" xfId="0" applyFont="1" applyFill="1" applyBorder="1" applyAlignment="1">
      <alignment vertical="top" wrapText="1"/>
    </xf>
    <xf numFmtId="1" fontId="16" fillId="0" borderId="0" xfId="0" applyNumberFormat="1" applyFont="1"/>
    <xf numFmtId="175" fontId="16" fillId="0" borderId="0" xfId="0" applyNumberFormat="1" applyFont="1"/>
    <xf numFmtId="0" fontId="0" fillId="0" borderId="22" xfId="0" applyBorder="1" applyAlignment="1">
      <alignment horizontal="center"/>
    </xf>
    <xf numFmtId="0" fontId="107" fillId="0" borderId="0" xfId="0" applyFont="1" applyAlignment="1">
      <alignment wrapText="1"/>
    </xf>
    <xf numFmtId="0" fontId="107" fillId="0" borderId="0" xfId="0" applyFont="1"/>
    <xf numFmtId="0" fontId="108" fillId="48" borderId="40" xfId="0" applyFont="1" applyFill="1" applyBorder="1" applyAlignment="1">
      <alignment wrapText="1"/>
    </xf>
    <xf numFmtId="0" fontId="109" fillId="49" borderId="10" xfId="0" applyFont="1" applyFill="1" applyBorder="1" applyAlignment="1">
      <alignment wrapText="1"/>
    </xf>
    <xf numFmtId="0" fontId="109" fillId="49" borderId="10" xfId="0" applyFont="1" applyFill="1" applyBorder="1"/>
    <xf numFmtId="0" fontId="110" fillId="50" borderId="10" xfId="0" applyFont="1" applyFill="1" applyBorder="1" applyAlignment="1">
      <alignment wrapText="1"/>
    </xf>
    <xf numFmtId="0" fontId="112" fillId="51" borderId="10" xfId="0" applyFont="1" applyFill="1" applyBorder="1" applyAlignment="1">
      <alignment wrapText="1"/>
    </xf>
    <xf numFmtId="0" fontId="111" fillId="51" borderId="10" xfId="0" applyFont="1" applyFill="1" applyBorder="1" applyAlignment="1">
      <alignment wrapText="1"/>
    </xf>
    <xf numFmtId="4" fontId="112" fillId="51" borderId="10" xfId="0" applyNumberFormat="1" applyFont="1" applyFill="1" applyBorder="1" applyAlignment="1">
      <alignment wrapText="1"/>
    </xf>
    <xf numFmtId="0" fontId="112" fillId="51" borderId="10" xfId="0" quotePrefix="1" applyFont="1" applyFill="1" applyBorder="1" applyAlignment="1">
      <alignment wrapText="1"/>
    </xf>
    <xf numFmtId="0" fontId="109" fillId="49" borderId="0" xfId="0" applyFont="1" applyFill="1" applyAlignment="1">
      <alignment wrapText="1"/>
    </xf>
    <xf numFmtId="0" fontId="112" fillId="0" borderId="0" xfId="0" applyFont="1" applyAlignment="1">
      <alignment wrapText="1"/>
    </xf>
    <xf numFmtId="3" fontId="109" fillId="49" borderId="10" xfId="0" applyNumberFormat="1" applyFont="1" applyFill="1" applyBorder="1" applyAlignment="1">
      <alignment wrapText="1"/>
    </xf>
    <xf numFmtId="0" fontId="113" fillId="0" borderId="0" xfId="0" applyFont="1" applyAlignment="1">
      <alignment wrapText="1"/>
    </xf>
    <xf numFmtId="0" fontId="113" fillId="0" borderId="0" xfId="0" applyFont="1"/>
    <xf numFmtId="0" fontId="7" fillId="0" borderId="29" xfId="0" applyFont="1" applyBorder="1"/>
    <xf numFmtId="0" fontId="7" fillId="0" borderId="83" xfId="0" applyFont="1" applyBorder="1"/>
    <xf numFmtId="0" fontId="7" fillId="0" borderId="45" xfId="0" applyFont="1" applyBorder="1"/>
    <xf numFmtId="169" fontId="7" fillId="0" borderId="46" xfId="0" applyNumberFormat="1" applyFont="1" applyBorder="1"/>
    <xf numFmtId="0" fontId="0" fillId="0" borderId="22" xfId="0" applyBorder="1" applyAlignment="1">
      <alignment wrapText="1"/>
    </xf>
    <xf numFmtId="0" fontId="77" fillId="0" borderId="0" xfId="0" applyFont="1" applyAlignment="1">
      <alignment vertical="top" wrapText="1"/>
    </xf>
    <xf numFmtId="0" fontId="22" fillId="0" borderId="0" xfId="0" applyFont="1" applyAlignment="1">
      <alignment vertical="top" wrapText="1"/>
    </xf>
    <xf numFmtId="0" fontId="5" fillId="0" borderId="0" xfId="1" applyFill="1" applyAlignment="1">
      <alignment vertical="top" wrapText="1"/>
    </xf>
    <xf numFmtId="0" fontId="5" fillId="0" borderId="17" xfId="1" applyFill="1" applyBorder="1" applyAlignment="1">
      <alignment wrapText="1"/>
    </xf>
    <xf numFmtId="0" fontId="114" fillId="0" borderId="22" xfId="0" applyFont="1" applyBorder="1"/>
    <xf numFmtId="0" fontId="116" fillId="0" borderId="0" xfId="0" applyFont="1"/>
    <xf numFmtId="0" fontId="116" fillId="0" borderId="0" xfId="0" applyFont="1" applyAlignment="1">
      <alignment horizontal="center"/>
    </xf>
    <xf numFmtId="0" fontId="8" fillId="0" borderId="0" xfId="0" applyFont="1" applyAlignment="1">
      <alignment wrapText="1"/>
    </xf>
    <xf numFmtId="0" fontId="117" fillId="0" borderId="0" xfId="0" applyFont="1" applyAlignment="1">
      <alignment horizontal="center" wrapText="1"/>
    </xf>
    <xf numFmtId="0" fontId="118" fillId="0" borderId="0" xfId="0" applyFont="1" applyAlignment="1">
      <alignment horizontal="center"/>
    </xf>
    <xf numFmtId="0" fontId="77" fillId="0" borderId="33" xfId="0" applyFont="1" applyBorder="1" applyAlignment="1">
      <alignment vertical="top" wrapText="1"/>
    </xf>
    <xf numFmtId="0" fontId="24" fillId="0" borderId="0" xfId="0" applyFont="1" applyAlignment="1">
      <alignment vertical="top" wrapText="1"/>
    </xf>
    <xf numFmtId="0" fontId="23" fillId="0" borderId="0" xfId="0" applyFont="1" applyAlignment="1">
      <alignment vertical="top" wrapText="1"/>
    </xf>
    <xf numFmtId="0" fontId="6" fillId="0" borderId="0" xfId="0" applyFont="1" applyAlignment="1">
      <alignment vertical="top" wrapText="1"/>
    </xf>
    <xf numFmtId="0" fontId="43" fillId="0" borderId="0" xfId="1" applyFont="1" applyFill="1" applyAlignment="1">
      <alignment vertical="top" wrapText="1"/>
    </xf>
    <xf numFmtId="0" fontId="5" fillId="0" borderId="17" xfId="1" applyBorder="1" applyAlignment="1">
      <alignment wrapText="1"/>
    </xf>
    <xf numFmtId="0" fontId="120" fillId="0" borderId="0" xfId="0" applyFont="1" applyAlignment="1">
      <alignment vertical="top" wrapText="1"/>
    </xf>
    <xf numFmtId="0" fontId="16" fillId="0" borderId="0" xfId="0" applyFont="1" applyAlignment="1">
      <alignment vertical="top" wrapText="1"/>
    </xf>
    <xf numFmtId="0" fontId="25" fillId="0" borderId="0" xfId="0" applyFont="1" applyAlignment="1">
      <alignment vertical="top" wrapText="1"/>
    </xf>
    <xf numFmtId="0" fontId="8" fillId="0" borderId="0" xfId="0" applyFont="1" applyAlignment="1">
      <alignment vertical="top" wrapText="1"/>
    </xf>
    <xf numFmtId="0" fontId="45" fillId="0" borderId="0" xfId="0" applyFont="1" applyAlignment="1">
      <alignment vertical="top" wrapText="1"/>
    </xf>
    <xf numFmtId="0" fontId="5" fillId="0" borderId="0" xfId="1" applyFill="1" applyBorder="1" applyAlignment="1">
      <alignment wrapText="1"/>
    </xf>
    <xf numFmtId="0" fontId="19" fillId="0" borderId="0" xfId="0" applyFont="1" applyAlignment="1">
      <alignment vertical="top" wrapText="1"/>
    </xf>
    <xf numFmtId="0" fontId="76" fillId="0" borderId="0" xfId="0" applyFont="1" applyAlignment="1">
      <alignment vertical="top" wrapText="1"/>
    </xf>
    <xf numFmtId="0" fontId="8" fillId="0" borderId="0" xfId="0" applyFont="1" applyAlignment="1">
      <alignment vertical="top"/>
    </xf>
    <xf numFmtId="0" fontId="0" fillId="0" borderId="0" xfId="0" quotePrefix="1" applyAlignment="1">
      <alignment vertical="top" wrapText="1"/>
    </xf>
    <xf numFmtId="0" fontId="8" fillId="0" borderId="0" xfId="0" applyFont="1" applyAlignment="1">
      <alignment horizontal="right" vertical="top"/>
    </xf>
    <xf numFmtId="0" fontId="16" fillId="0" borderId="0" xfId="0" applyFont="1" applyAlignment="1">
      <alignment wrapText="1"/>
    </xf>
    <xf numFmtId="10" fontId="0" fillId="0" borderId="0" xfId="0" applyNumberFormat="1"/>
    <xf numFmtId="4" fontId="25" fillId="0" borderId="0" xfId="0" applyNumberFormat="1" applyFont="1"/>
    <xf numFmtId="1" fontId="90" fillId="0" borderId="0" xfId="0" applyNumberFormat="1" applyFont="1"/>
    <xf numFmtId="10" fontId="90" fillId="46" borderId="68" xfId="0" applyNumberFormat="1" applyFont="1" applyFill="1" applyBorder="1"/>
    <xf numFmtId="10" fontId="90" fillId="46" borderId="73" xfId="0" applyNumberFormat="1" applyFont="1" applyFill="1" applyBorder="1"/>
    <xf numFmtId="0" fontId="96" fillId="0" borderId="0" xfId="0" applyFont="1"/>
    <xf numFmtId="0" fontId="124" fillId="0" borderId="0" xfId="0" applyFont="1"/>
    <xf numFmtId="0" fontId="126" fillId="0" borderId="0" xfId="0" applyFont="1"/>
    <xf numFmtId="0" fontId="127" fillId="0" borderId="20" xfId="0" applyFont="1" applyBorder="1"/>
    <xf numFmtId="0" fontId="127" fillId="0" borderId="19" xfId="0" applyFont="1" applyBorder="1"/>
    <xf numFmtId="0" fontId="127" fillId="0" borderId="0" xfId="0" applyFont="1"/>
    <xf numFmtId="0" fontId="127" fillId="0" borderId="15" xfId="0" applyFont="1" applyBorder="1"/>
    <xf numFmtId="0" fontId="127" fillId="0" borderId="13" xfId="0" applyFont="1" applyBorder="1"/>
    <xf numFmtId="0" fontId="127" fillId="0" borderId="14" xfId="0" applyFont="1" applyBorder="1"/>
    <xf numFmtId="0" fontId="128" fillId="0" borderId="0" xfId="0" applyFont="1"/>
    <xf numFmtId="0" fontId="7" fillId="0" borderId="40" xfId="0" applyFont="1" applyBorder="1"/>
    <xf numFmtId="0" fontId="59" fillId="53" borderId="0" xfId="0" applyFont="1" applyFill="1" applyAlignment="1">
      <alignment horizontal="center"/>
    </xf>
    <xf numFmtId="17" fontId="0" fillId="0" borderId="0" xfId="0" applyNumberFormat="1" applyAlignment="1">
      <alignment horizontal="left"/>
    </xf>
    <xf numFmtId="4" fontId="0" fillId="0" borderId="0" xfId="0" applyNumberFormat="1" applyAlignment="1">
      <alignment horizontal="right"/>
    </xf>
    <xf numFmtId="17" fontId="6" fillId="0" borderId="0" xfId="0" applyNumberFormat="1" applyFont="1" applyAlignment="1">
      <alignment horizontal="left"/>
    </xf>
    <xf numFmtId="4" fontId="6" fillId="0" borderId="0" xfId="0" applyNumberFormat="1" applyFont="1" applyAlignment="1">
      <alignment horizontal="right"/>
    </xf>
    <xf numFmtId="4" fontId="7" fillId="0" borderId="0" xfId="0" applyNumberFormat="1" applyFont="1" applyAlignment="1">
      <alignment horizontal="right"/>
    </xf>
    <xf numFmtId="0" fontId="80" fillId="8" borderId="76" xfId="0" applyFont="1" applyFill="1" applyBorder="1" applyAlignment="1">
      <alignment horizontal="center" vertical="center" wrapText="1"/>
    </xf>
    <xf numFmtId="0" fontId="80" fillId="8" borderId="77" xfId="0" applyFont="1" applyFill="1" applyBorder="1" applyAlignment="1">
      <alignment horizontal="center" vertical="center" wrapText="1"/>
    </xf>
    <xf numFmtId="0" fontId="80" fillId="8" borderId="78" xfId="0" applyFont="1" applyFill="1" applyBorder="1" applyAlignment="1">
      <alignment horizontal="center" vertical="center" wrapText="1"/>
    </xf>
    <xf numFmtId="0" fontId="25" fillId="0" borderId="79" xfId="0" applyFont="1" applyBorder="1" applyAlignment="1">
      <alignment horizontal="left"/>
    </xf>
    <xf numFmtId="3" fontId="25" fillId="0" borderId="0" xfId="0" applyNumberFormat="1" applyFont="1" applyAlignment="1">
      <alignment horizontal="right"/>
    </xf>
    <xf numFmtId="0" fontId="25" fillId="0" borderId="0" xfId="0" applyFont="1" applyAlignment="1">
      <alignment horizontal="right"/>
    </xf>
    <xf numFmtId="4" fontId="25" fillId="0" borderId="0" xfId="0" applyNumberFormat="1" applyFont="1" applyAlignment="1">
      <alignment horizontal="right"/>
    </xf>
    <xf numFmtId="0" fontId="25" fillId="0" borderId="80" xfId="0" applyFont="1" applyBorder="1" applyAlignment="1">
      <alignment horizontal="right"/>
    </xf>
    <xf numFmtId="0" fontId="130" fillId="0" borderId="0" xfId="0" applyFont="1"/>
    <xf numFmtId="0" fontId="95" fillId="0" borderId="0" xfId="0" applyFont="1"/>
    <xf numFmtId="0" fontId="95" fillId="0" borderId="79" xfId="0" applyFont="1" applyBorder="1" applyAlignment="1">
      <alignment horizontal="left"/>
    </xf>
    <xf numFmtId="0" fontId="132" fillId="0" borderId="0" xfId="0" applyFont="1" applyAlignment="1">
      <alignment horizontal="left" vertical="center" indent="1"/>
    </xf>
    <xf numFmtId="0" fontId="131" fillId="0" borderId="0" xfId="0" applyFont="1" applyAlignment="1">
      <alignment horizontal="left" vertical="center" indent="12"/>
    </xf>
    <xf numFmtId="0" fontId="132" fillId="0" borderId="0" xfId="0" applyFont="1" applyAlignment="1">
      <alignment vertical="center"/>
    </xf>
    <xf numFmtId="4" fontId="95" fillId="0" borderId="0" xfId="0" applyNumberFormat="1" applyFont="1"/>
    <xf numFmtId="0" fontId="95" fillId="26" borderId="0" xfId="0" applyFont="1" applyFill="1"/>
    <xf numFmtId="0" fontId="134" fillId="0" borderId="0" xfId="0" applyFont="1"/>
    <xf numFmtId="4" fontId="6" fillId="26" borderId="0" xfId="0" applyNumberFormat="1" applyFont="1" applyFill="1"/>
    <xf numFmtId="0" fontId="0" fillId="0" borderId="78" xfId="0" applyBorder="1" applyAlignment="1">
      <alignment vertical="top"/>
    </xf>
    <xf numFmtId="0" fontId="0" fillId="0" borderId="79" xfId="0" applyBorder="1" applyAlignment="1">
      <alignment horizontal="left" vertical="top"/>
    </xf>
    <xf numFmtId="0" fontId="0" fillId="0" borderId="80" xfId="0" applyBorder="1" applyAlignment="1">
      <alignment vertical="top"/>
    </xf>
    <xf numFmtId="0" fontId="0" fillId="32" borderId="79" xfId="0" applyFill="1" applyBorder="1" applyAlignment="1">
      <alignment horizontal="left" vertical="top"/>
    </xf>
    <xf numFmtId="0" fontId="0" fillId="6" borderId="79" xfId="0" applyFill="1" applyBorder="1" applyAlignment="1">
      <alignment horizontal="left" vertical="top"/>
    </xf>
    <xf numFmtId="0" fontId="0" fillId="38" borderId="79" xfId="0" applyFill="1" applyBorder="1" applyAlignment="1">
      <alignment horizontal="left" vertical="top"/>
    </xf>
    <xf numFmtId="0" fontId="7" fillId="23" borderId="84" xfId="0" applyFont="1" applyFill="1" applyBorder="1" applyAlignment="1">
      <alignment horizontal="left" vertical="top"/>
    </xf>
    <xf numFmtId="0" fontId="7" fillId="0" borderId="40" xfId="0" applyFont="1" applyBorder="1" applyAlignment="1">
      <alignment vertical="top"/>
    </xf>
    <xf numFmtId="0" fontId="7" fillId="0" borderId="85" xfId="0" applyFont="1" applyBorder="1" applyAlignment="1">
      <alignment vertical="top"/>
    </xf>
    <xf numFmtId="0" fontId="0" fillId="0" borderId="76" xfId="0" applyBorder="1"/>
    <xf numFmtId="0" fontId="0" fillId="0" borderId="77" xfId="0" applyBorder="1"/>
    <xf numFmtId="0" fontId="0" fillId="0" borderId="78" xfId="0" applyBorder="1"/>
    <xf numFmtId="0" fontId="0" fillId="0" borderId="79" xfId="0" applyBorder="1"/>
    <xf numFmtId="0" fontId="0" fillId="0" borderId="80" xfId="0" applyBorder="1"/>
    <xf numFmtId="0" fontId="0" fillId="6" borderId="79" xfId="0" applyFill="1" applyBorder="1"/>
    <xf numFmtId="0" fontId="0" fillId="6" borderId="80" xfId="0" applyFill="1" applyBorder="1"/>
    <xf numFmtId="0" fontId="0" fillId="4" borderId="79" xfId="0" applyFill="1" applyBorder="1"/>
    <xf numFmtId="9" fontId="0" fillId="4" borderId="0" xfId="20" applyFont="1" applyFill="1" applyBorder="1"/>
    <xf numFmtId="180" fontId="0" fillId="4" borderId="0" xfId="0" applyNumberFormat="1" applyFill="1"/>
    <xf numFmtId="0" fontId="0" fillId="4" borderId="80" xfId="0" applyFill="1" applyBorder="1"/>
    <xf numFmtId="173" fontId="0" fillId="4" borderId="0" xfId="0" applyNumberFormat="1" applyFill="1"/>
    <xf numFmtId="173" fontId="0" fillId="4" borderId="80" xfId="0" applyNumberFormat="1" applyFill="1" applyBorder="1"/>
    <xf numFmtId="0" fontId="0" fillId="4" borderId="86" xfId="0" applyFill="1" applyBorder="1"/>
    <xf numFmtId="0" fontId="0" fillId="4" borderId="40" xfId="0" applyFill="1" applyBorder="1"/>
    <xf numFmtId="9" fontId="0" fillId="4" borderId="40" xfId="20" applyFont="1" applyFill="1" applyBorder="1"/>
    <xf numFmtId="0" fontId="0" fillId="4" borderId="85" xfId="0" applyFill="1" applyBorder="1"/>
    <xf numFmtId="0" fontId="135" fillId="0" borderId="0" xfId="0" applyFont="1"/>
    <xf numFmtId="49" fontId="137" fillId="0" borderId="88" xfId="0" applyNumberFormat="1" applyFont="1" applyBorder="1" applyAlignment="1" applyProtection="1">
      <alignment horizontal="center" vertical="center"/>
      <protection locked="0"/>
    </xf>
    <xf numFmtId="0" fontId="137" fillId="0" borderId="87" xfId="0" applyFont="1" applyBorder="1" applyAlignment="1">
      <alignment horizontal="center" vertical="center"/>
    </xf>
    <xf numFmtId="0" fontId="137" fillId="0" borderId="88" xfId="0" applyFont="1" applyBorder="1" applyAlignment="1">
      <alignment horizontal="center" vertical="center"/>
    </xf>
    <xf numFmtId="2" fontId="137" fillId="0" borderId="88" xfId="0" applyNumberFormat="1" applyFont="1" applyBorder="1" applyAlignment="1" applyProtection="1">
      <alignment horizontal="center" vertical="center"/>
      <protection locked="0"/>
    </xf>
    <xf numFmtId="2" fontId="137" fillId="0" borderId="87" xfId="0" applyNumberFormat="1" applyFont="1" applyBorder="1" applyAlignment="1" applyProtection="1">
      <alignment horizontal="center" vertical="center"/>
      <protection locked="0"/>
    </xf>
    <xf numFmtId="2" fontId="0" fillId="6" borderId="0" xfId="0" applyNumberFormat="1" applyFill="1"/>
    <xf numFmtId="2" fontId="25" fillId="6" borderId="0" xfId="0" applyNumberFormat="1" applyFont="1" applyFill="1"/>
    <xf numFmtId="0" fontId="120" fillId="0" borderId="79" xfId="0" applyFont="1" applyBorder="1"/>
    <xf numFmtId="3" fontId="120" fillId="0" borderId="0" xfId="0" applyNumberFormat="1" applyFont="1"/>
    <xf numFmtId="0" fontId="120" fillId="0" borderId="0" xfId="0" applyFont="1"/>
    <xf numFmtId="4" fontId="120" fillId="0" borderId="0" xfId="0" applyNumberFormat="1" applyFont="1"/>
    <xf numFmtId="0" fontId="120" fillId="0" borderId="80" xfId="0" applyFont="1" applyBorder="1"/>
    <xf numFmtId="2" fontId="16" fillId="0" borderId="0" xfId="0" applyNumberFormat="1" applyFont="1"/>
    <xf numFmtId="2" fontId="120" fillId="0" borderId="0" xfId="0" applyNumberFormat="1" applyFont="1"/>
    <xf numFmtId="2" fontId="106" fillId="0" borderId="0" xfId="0" applyNumberFormat="1" applyFont="1"/>
    <xf numFmtId="169" fontId="6" fillId="0" borderId="0" xfId="0" applyNumberFormat="1" applyFont="1" applyAlignment="1">
      <alignment vertical="top"/>
    </xf>
    <xf numFmtId="43" fontId="6" fillId="0" borderId="68" xfId="0" applyNumberFormat="1" applyFont="1" applyBorder="1" applyAlignment="1">
      <alignment vertical="top"/>
    </xf>
    <xf numFmtId="4" fontId="6" fillId="6" borderId="0" xfId="0" applyNumberFormat="1" applyFont="1" applyFill="1" applyAlignment="1">
      <alignment horizontal="right"/>
    </xf>
    <xf numFmtId="0" fontId="6" fillId="6" borderId="0" xfId="0" applyFont="1" applyFill="1"/>
    <xf numFmtId="167" fontId="0" fillId="0" borderId="0" xfId="0" applyNumberFormat="1"/>
    <xf numFmtId="4" fontId="8" fillId="0" borderId="0" xfId="0" applyNumberFormat="1" applyFont="1"/>
    <xf numFmtId="167" fontId="6" fillId="6" borderId="0" xfId="0" applyNumberFormat="1" applyFont="1" applyFill="1"/>
    <xf numFmtId="1" fontId="95" fillId="0" borderId="0" xfId="0" applyNumberFormat="1" applyFont="1" applyAlignment="1">
      <alignment horizontal="right"/>
    </xf>
    <xf numFmtId="0" fontId="4" fillId="0" borderId="0" xfId="0" applyFont="1"/>
    <xf numFmtId="0" fontId="74" fillId="0" borderId="0" xfId="0" applyFont="1" applyAlignment="1">
      <alignment vertical="top" wrapText="1"/>
    </xf>
    <xf numFmtId="168" fontId="0" fillId="0" borderId="0" xfId="0" applyNumberFormat="1"/>
    <xf numFmtId="0" fontId="21" fillId="0" borderId="0" xfId="0" applyFont="1" applyProtection="1">
      <protection hidden="1"/>
    </xf>
    <xf numFmtId="0" fontId="0" fillId="0" borderId="0" xfId="0" applyProtection="1">
      <protection hidden="1"/>
    </xf>
    <xf numFmtId="0" fontId="20" fillId="0" borderId="22" xfId="0" applyFont="1" applyBorder="1" applyProtection="1">
      <protection hidden="1"/>
    </xf>
    <xf numFmtId="0" fontId="0" fillId="0" borderId="22" xfId="0" applyBorder="1" applyProtection="1">
      <protection hidden="1"/>
    </xf>
    <xf numFmtId="0" fontId="29" fillId="10" borderId="0" xfId="0" applyFont="1" applyFill="1" applyAlignment="1" applyProtection="1">
      <alignment wrapText="1"/>
      <protection hidden="1"/>
    </xf>
    <xf numFmtId="9" fontId="0" fillId="0" borderId="0" xfId="0" applyNumberFormat="1" applyProtection="1">
      <protection hidden="1"/>
    </xf>
    <xf numFmtId="9" fontId="0" fillId="0" borderId="0" xfId="0" applyNumberFormat="1" applyAlignment="1" applyProtection="1">
      <alignment horizontal="right"/>
      <protection hidden="1"/>
    </xf>
    <xf numFmtId="0" fontId="25" fillId="0" borderId="0" xfId="0" applyFont="1" applyProtection="1">
      <protection hidden="1"/>
    </xf>
    <xf numFmtId="1" fontId="0" fillId="0" borderId="0" xfId="0" applyNumberFormat="1" applyProtection="1">
      <protection hidden="1"/>
    </xf>
    <xf numFmtId="10" fontId="0" fillId="0" borderId="0" xfId="0" applyNumberFormat="1" applyProtection="1">
      <protection hidden="1"/>
    </xf>
    <xf numFmtId="9" fontId="0" fillId="0" borderId="0" xfId="2" applyFont="1" applyFill="1" applyProtection="1">
      <protection hidden="1"/>
    </xf>
    <xf numFmtId="0" fontId="0" fillId="0" borderId="40" xfId="0" applyBorder="1" applyProtection="1">
      <protection hidden="1"/>
    </xf>
    <xf numFmtId="0" fontId="44" fillId="0" borderId="0" xfId="0" applyFont="1" applyProtection="1">
      <protection hidden="1"/>
    </xf>
    <xf numFmtId="0" fontId="42" fillId="0" borderId="0" xfId="0" applyFont="1" applyProtection="1">
      <protection hidden="1"/>
    </xf>
    <xf numFmtId="0" fontId="23" fillId="0" borderId="0" xfId="0" applyFont="1" applyAlignment="1">
      <alignment wrapText="1"/>
    </xf>
    <xf numFmtId="9" fontId="0" fillId="0" borderId="0" xfId="18" applyNumberFormat="1" applyFont="1"/>
    <xf numFmtId="43" fontId="0" fillId="54" borderId="68" xfId="0" applyNumberFormat="1" applyFill="1" applyBorder="1" applyAlignment="1">
      <alignment vertical="top"/>
    </xf>
    <xf numFmtId="43" fontId="0" fillId="54" borderId="0" xfId="0" applyNumberFormat="1" applyFill="1" applyAlignment="1">
      <alignment vertical="top"/>
    </xf>
    <xf numFmtId="9" fontId="0" fillId="0" borderId="0" xfId="0" applyNumberFormat="1" applyAlignment="1">
      <alignment vertical="top"/>
    </xf>
    <xf numFmtId="9" fontId="7" fillId="0" borderId="0" xfId="0" applyNumberFormat="1" applyFont="1"/>
    <xf numFmtId="0" fontId="0" fillId="0" borderId="33" xfId="0" applyBorder="1" applyAlignment="1">
      <alignment horizontal="center" vertical="center"/>
    </xf>
    <xf numFmtId="0" fontId="77" fillId="0" borderId="0" xfId="0" applyFont="1" applyAlignment="1">
      <alignment horizontal="center" vertical="top" wrapText="1"/>
    </xf>
    <xf numFmtId="0" fontId="0" fillId="0" borderId="0" xfId="0" applyAlignment="1">
      <alignment horizontal="center" wrapText="1"/>
    </xf>
    <xf numFmtId="3" fontId="25" fillId="23" borderId="42" xfId="0" applyNumberFormat="1" applyFont="1" applyFill="1" applyBorder="1"/>
    <xf numFmtId="3" fontId="96" fillId="0" borderId="42" xfId="0" applyNumberFormat="1" applyFont="1" applyBorder="1"/>
    <xf numFmtId="171" fontId="25" fillId="23" borderId="42" xfId="0" applyNumberFormat="1" applyFont="1" applyFill="1" applyBorder="1"/>
    <xf numFmtId="3" fontId="96" fillId="23" borderId="42" xfId="0" applyNumberFormat="1" applyFont="1" applyFill="1" applyBorder="1"/>
    <xf numFmtId="0" fontId="96" fillId="0" borderId="42" xfId="0" applyFont="1" applyBorder="1"/>
    <xf numFmtId="0" fontId="96" fillId="23" borderId="42" xfId="0" applyFont="1" applyFill="1" applyBorder="1"/>
    <xf numFmtId="3" fontId="96" fillId="27" borderId="42" xfId="0" applyNumberFormat="1" applyFont="1" applyFill="1" applyBorder="1"/>
    <xf numFmtId="3" fontId="25" fillId="0" borderId="42" xfId="0" applyNumberFormat="1" applyFont="1" applyBorder="1"/>
    <xf numFmtId="3" fontId="25" fillId="27" borderId="42" xfId="0" applyNumberFormat="1" applyFont="1" applyFill="1" applyBorder="1"/>
    <xf numFmtId="0" fontId="51" fillId="28" borderId="42" xfId="0" applyFont="1" applyFill="1" applyBorder="1" applyAlignment="1">
      <alignment vertical="top"/>
    </xf>
    <xf numFmtId="4" fontId="80" fillId="0" borderId="17" xfId="0" applyNumberFormat="1" applyFont="1" applyBorder="1" applyAlignment="1">
      <alignment horizontal="center" vertical="top" wrapText="1"/>
    </xf>
    <xf numFmtId="4" fontId="80" fillId="0" borderId="0" xfId="0" applyNumberFormat="1" applyFont="1" applyAlignment="1">
      <alignment horizontal="center" vertical="top" wrapText="1"/>
    </xf>
    <xf numFmtId="9" fontId="16" fillId="0" borderId="17" xfId="0" applyNumberFormat="1" applyFont="1" applyBorder="1"/>
    <xf numFmtId="2" fontId="0" fillId="0" borderId="0" xfId="0" applyNumberFormat="1" applyProtection="1">
      <protection hidden="1"/>
    </xf>
    <xf numFmtId="0" fontId="1" fillId="0" borderId="0" xfId="0" applyFont="1" applyAlignment="1">
      <alignment vertical="top" wrapText="1"/>
    </xf>
    <xf numFmtId="0" fontId="84" fillId="0" borderId="0" xfId="0" applyFont="1" applyAlignment="1">
      <alignment horizontal="left" wrapText="1"/>
    </xf>
    <xf numFmtId="0" fontId="94" fillId="0" borderId="0" xfId="0" applyFont="1" applyAlignment="1">
      <alignment horizontal="center" wrapText="1"/>
    </xf>
    <xf numFmtId="0" fontId="71" fillId="0" borderId="59" xfId="0" applyFont="1" applyBorder="1" applyAlignment="1">
      <alignment wrapText="1" readingOrder="1"/>
    </xf>
    <xf numFmtId="0" fontId="71" fillId="0" borderId="58" xfId="0" applyFont="1" applyBorder="1" applyAlignment="1">
      <alignment wrapText="1" readingOrder="1"/>
    </xf>
    <xf numFmtId="0" fontId="84" fillId="0" borderId="63" xfId="0" applyFont="1" applyBorder="1" applyAlignment="1">
      <alignment horizontal="left"/>
    </xf>
    <xf numFmtId="0" fontId="93" fillId="0" borderId="59" xfId="0" applyFont="1" applyBorder="1" applyAlignment="1">
      <alignment wrapText="1" readingOrder="1"/>
    </xf>
    <xf numFmtId="0" fontId="93" fillId="0" borderId="58" xfId="0" applyFont="1" applyBorder="1" applyAlignment="1">
      <alignment wrapText="1" readingOrder="1"/>
    </xf>
    <xf numFmtId="0" fontId="125" fillId="52" borderId="15" xfId="0" applyFont="1" applyFill="1" applyBorder="1"/>
    <xf numFmtId="0" fontId="125" fillId="52" borderId="21" xfId="0" applyFont="1" applyFill="1" applyBorder="1"/>
    <xf numFmtId="0" fontId="125" fillId="52" borderId="14" xfId="0" applyFont="1" applyFill="1" applyBorder="1"/>
    <xf numFmtId="0" fontId="103" fillId="44" borderId="15" xfId="0" applyFont="1" applyFill="1" applyBorder="1" applyAlignment="1">
      <alignment horizontal="center"/>
    </xf>
    <xf numFmtId="0" fontId="103" fillId="44" borderId="14" xfId="0" applyFont="1" applyFill="1" applyBorder="1" applyAlignment="1">
      <alignment horizontal="center"/>
    </xf>
    <xf numFmtId="0" fontId="103" fillId="44" borderId="13" xfId="0" applyFont="1" applyFill="1" applyBorder="1" applyAlignment="1">
      <alignment horizontal="center"/>
    </xf>
    <xf numFmtId="0" fontId="103" fillId="44" borderId="15" xfId="0" applyFont="1" applyFill="1" applyBorder="1" applyAlignment="1">
      <alignment horizontal="center" wrapText="1"/>
    </xf>
    <xf numFmtId="0" fontId="103" fillId="44" borderId="13" xfId="0" applyFont="1" applyFill="1" applyBorder="1" applyAlignment="1">
      <alignment horizontal="center" wrapText="1"/>
    </xf>
    <xf numFmtId="0" fontId="12" fillId="5" borderId="6" xfId="3" applyFont="1" applyFill="1" applyBorder="1" applyAlignment="1">
      <alignment horizontal="center" vertical="center" wrapText="1"/>
    </xf>
    <xf numFmtId="0" fontId="10" fillId="0" borderId="6" xfId="3" applyBorder="1" applyAlignment="1">
      <alignment horizontal="center" vertical="center" wrapText="1"/>
    </xf>
    <xf numFmtId="0" fontId="12" fillId="5" borderId="7"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8" fillId="9" borderId="15" xfId="0" applyFont="1" applyFill="1" applyBorder="1"/>
    <xf numFmtId="0" fontId="18" fillId="9" borderId="21" xfId="0" applyFont="1" applyFill="1" applyBorder="1"/>
    <xf numFmtId="0" fontId="18" fillId="9" borderId="14" xfId="0" applyFont="1" applyFill="1" applyBorder="1" applyAlignment="1">
      <alignment wrapText="1"/>
    </xf>
    <xf numFmtId="0" fontId="18" fillId="9" borderId="21" xfId="0" applyFont="1" applyFill="1" applyBorder="1" applyAlignment="1">
      <alignment wrapText="1"/>
    </xf>
    <xf numFmtId="0" fontId="74" fillId="0" borderId="0" xfId="0" applyFont="1" applyAlignment="1">
      <alignment vertical="top" wrapText="1"/>
    </xf>
    <xf numFmtId="0" fontId="120" fillId="0" borderId="0" xfId="0" applyFont="1" applyAlignment="1">
      <alignment vertical="top" wrapText="1"/>
    </xf>
    <xf numFmtId="0" fontId="75" fillId="0" borderId="0" xfId="0" applyFont="1" applyAlignment="1">
      <alignment vertical="top" wrapText="1"/>
    </xf>
    <xf numFmtId="0" fontId="116" fillId="0" borderId="0" xfId="0" applyFont="1" applyAlignment="1">
      <alignment horizontal="center"/>
    </xf>
    <xf numFmtId="0" fontId="25" fillId="0" borderId="0" xfId="0" applyFont="1" applyAlignment="1">
      <alignment vertical="top" wrapText="1"/>
    </xf>
    <xf numFmtId="0" fontId="122" fillId="0" borderId="0" xfId="1" applyFont="1" applyFill="1" applyAlignment="1">
      <alignment vertical="top" wrapText="1"/>
    </xf>
    <xf numFmtId="0" fontId="16" fillId="0" borderId="0" xfId="0" applyFont="1" applyAlignment="1">
      <alignment vertical="top" wrapText="1"/>
    </xf>
    <xf numFmtId="0" fontId="0" fillId="0" borderId="0" xfId="0" applyAlignment="1">
      <alignment vertical="top" wrapText="1"/>
    </xf>
    <xf numFmtId="0" fontId="5" fillId="0" borderId="0" xfId="1" applyFill="1" applyAlignment="1">
      <alignment horizontal="left" vertical="top" wrapText="1"/>
    </xf>
    <xf numFmtId="0" fontId="24" fillId="0" borderId="0" xfId="0" applyFont="1" applyAlignment="1">
      <alignment vertical="top" wrapText="1"/>
    </xf>
    <xf numFmtId="0" fontId="129" fillId="47" borderId="40" xfId="0" applyFont="1" applyFill="1" applyBorder="1" applyAlignment="1">
      <alignment horizontal="center" vertical="center"/>
    </xf>
    <xf numFmtId="0" fontId="7" fillId="0" borderId="0" xfId="0" applyFont="1" applyAlignment="1">
      <alignment horizontal="center"/>
    </xf>
    <xf numFmtId="0" fontId="136" fillId="0" borderId="0" xfId="0" applyFont="1" applyAlignment="1">
      <alignment horizontal="center" wrapText="1"/>
    </xf>
    <xf numFmtId="0" fontId="104" fillId="47" borderId="0" xfId="0" applyFont="1" applyFill="1"/>
    <xf numFmtId="0" fontId="109" fillId="49" borderId="81" xfId="0" applyFont="1" applyFill="1" applyBorder="1" applyAlignment="1">
      <alignment wrapText="1"/>
    </xf>
    <xf numFmtId="0" fontId="109" fillId="49" borderId="82" xfId="0" applyFont="1" applyFill="1" applyBorder="1" applyAlignment="1">
      <alignment wrapText="1"/>
    </xf>
    <xf numFmtId="0" fontId="111" fillId="51" borderId="81" xfId="0" applyFont="1" applyFill="1" applyBorder="1" applyAlignment="1">
      <alignment wrapText="1"/>
    </xf>
    <xf numFmtId="0" fontId="111" fillId="51" borderId="82" xfId="0" applyFont="1" applyFill="1" applyBorder="1" applyAlignment="1">
      <alignment wrapText="1"/>
    </xf>
    <xf numFmtId="0" fontId="52" fillId="0" borderId="0" xfId="17" applyFont="1" applyAlignment="1">
      <alignment horizontal="right" vertical="top" wrapText="1" readingOrder="1"/>
    </xf>
    <xf numFmtId="0" fontId="23" fillId="0" borderId="0" xfId="17" applyFont="1"/>
    <xf numFmtId="0" fontId="52" fillId="0" borderId="0" xfId="17" applyFont="1" applyAlignment="1">
      <alignment horizontal="left" vertical="top" wrapText="1" readingOrder="1"/>
    </xf>
    <xf numFmtId="0" fontId="53" fillId="29" borderId="0" xfId="17" applyFont="1" applyFill="1" applyAlignment="1">
      <alignment vertical="top" wrapText="1" readingOrder="1"/>
    </xf>
    <xf numFmtId="0" fontId="37" fillId="0" borderId="0" xfId="7" applyFont="1" applyAlignment="1">
      <alignment horizontal="right" wrapText="1"/>
    </xf>
    <xf numFmtId="0" fontId="38" fillId="0" borderId="0" xfId="7" applyFont="1" applyAlignment="1">
      <alignment wrapText="1"/>
    </xf>
    <xf numFmtId="0" fontId="38" fillId="0" borderId="0" xfId="7" applyFont="1" applyAlignment="1">
      <alignment horizontal="left" wrapText="1"/>
    </xf>
    <xf numFmtId="0" fontId="38" fillId="0" borderId="0" xfId="0" applyFont="1" applyAlignment="1">
      <alignment vertical="top" wrapText="1"/>
    </xf>
    <xf numFmtId="0" fontId="38" fillId="0" borderId="0" xfId="0" applyFont="1" applyAlignment="1">
      <alignment horizontal="left" vertical="top" wrapText="1"/>
    </xf>
    <xf numFmtId="0" fontId="37" fillId="0" borderId="0" xfId="0" applyFont="1" applyAlignment="1">
      <alignment horizontal="right" vertical="top" wrapText="1"/>
    </xf>
    <xf numFmtId="0" fontId="38" fillId="0" borderId="0" xfId="7" applyFont="1" applyAlignment="1">
      <alignment vertical="top" wrapText="1"/>
    </xf>
    <xf numFmtId="0" fontId="38" fillId="0" borderId="0" xfId="7" applyFont="1" applyAlignment="1">
      <alignment horizontal="left" vertical="top" wrapText="1"/>
    </xf>
    <xf numFmtId="0" fontId="98" fillId="0" borderId="0" xfId="0" applyFont="1" applyAlignment="1">
      <alignment horizontal="center"/>
    </xf>
    <xf numFmtId="0" fontId="7" fillId="0" borderId="76" xfId="0" applyFont="1" applyBorder="1" applyAlignment="1">
      <alignment horizontal="center" vertical="top"/>
    </xf>
    <xf numFmtId="0" fontId="7" fillId="0" borderId="77" xfId="0" applyFont="1" applyBorder="1" applyAlignment="1">
      <alignment horizontal="center" vertical="top"/>
    </xf>
    <xf numFmtId="171" fontId="142" fillId="0" borderId="0" xfId="0" applyNumberFormat="1" applyFont="1"/>
    <xf numFmtId="3" fontId="142" fillId="0" borderId="0" xfId="0" applyNumberFormat="1" applyFont="1"/>
    <xf numFmtId="3" fontId="90" fillId="0" borderId="0" xfId="0" applyNumberFormat="1" applyFont="1"/>
    <xf numFmtId="1" fontId="24" fillId="0" borderId="0" xfId="0" applyNumberFormat="1" applyFont="1"/>
    <xf numFmtId="9" fontId="24" fillId="0" borderId="0" xfId="0" applyNumberFormat="1" applyFont="1"/>
    <xf numFmtId="0" fontId="139" fillId="0" borderId="0" xfId="0" applyFont="1" applyFill="1"/>
    <xf numFmtId="171" fontId="16" fillId="0" borderId="17" xfId="0" applyNumberFormat="1" applyFont="1" applyBorder="1"/>
    <xf numFmtId="9" fontId="0" fillId="0" borderId="17" xfId="0" applyNumberFormat="1" applyBorder="1"/>
    <xf numFmtId="173" fontId="95" fillId="0" borderId="0" xfId="0" applyNumberFormat="1" applyFont="1" applyAlignment="1">
      <alignment horizontal="right"/>
    </xf>
  </cellXfs>
  <cellStyles count="21">
    <cellStyle name="Calculation 1" xfId="13" xr:uid="{2A214D39-5EDE-4462-822E-F90BA1A6607F}"/>
    <cellStyle name="Comma" xfId="5" builtinId="3"/>
    <cellStyle name="Comma 2" xfId="19" xr:uid="{CEDF4E86-2A84-4014-9BDB-A978DB5E5089}"/>
    <cellStyle name="Constant" xfId="11" xr:uid="{3F1CC608-9E76-4B4B-97FA-A6488DE9880E}"/>
    <cellStyle name="Currency" xfId="6" builtinId="4"/>
    <cellStyle name="Currency 2" xfId="18" xr:uid="{96E821C8-74AF-4948-903E-55773AC3D502}"/>
    <cellStyle name="Data" xfId="10" xr:uid="{7F914DF0-2443-4CB1-92A3-9D02B97B3B3B}"/>
    <cellStyle name="Heading" xfId="9" xr:uid="{D31F443E-3BBC-47C7-BA41-8CB26E3AED2E}"/>
    <cellStyle name="Hyperlink" xfId="1" builtinId="8"/>
    <cellStyle name="Linked Cell 2" xfId="12" xr:uid="{16D17815-35E9-49FE-ABC0-9135D5477CAC}"/>
    <cellStyle name="Normal" xfId="0" builtinId="0"/>
    <cellStyle name="Normal 2" xfId="3" xr:uid="{3E99B30D-8B62-437E-B5F0-781F4CE4B6D3}"/>
    <cellStyle name="Normal 2 2" xfId="15" xr:uid="{725C7593-7AD0-481F-8A3C-3674EC80F996}"/>
    <cellStyle name="Normal 3" xfId="7" xr:uid="{D23C2557-C31F-4CD0-8398-F2FBD7756F1A}"/>
    <cellStyle name="Normal 4" xfId="17" xr:uid="{A9AAD2F6-3D07-44AE-BA86-EC47D54F7010}"/>
    <cellStyle name="Normal 9" xfId="14" xr:uid="{A2728096-FF4A-47AC-8A32-3E5D428B7A16}"/>
    <cellStyle name="Per cent" xfId="2" builtinId="5"/>
    <cellStyle name="Per cent 2" xfId="20" xr:uid="{0DE40D5D-61FB-4F18-9795-889B0FF1FFAE}"/>
    <cellStyle name="Percent 2" xfId="4" xr:uid="{90363E6A-C0D2-499D-BD4E-22311AA69555}"/>
    <cellStyle name="Percent 5" xfId="16" xr:uid="{A9213495-A03A-4DDE-974A-58D3685D3FFB}"/>
    <cellStyle name="Worksheet Title" xfId="8" xr:uid="{DE5299CF-996C-417E-9DB8-F5FD025FE73D}"/>
  </cellStyles>
  <dxfs count="168">
    <dxf>
      <alignment wrapText="1"/>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0" formatCode="General"/>
      <fill>
        <patternFill patternType="solid">
          <fgColor indexed="64"/>
          <bgColor rgb="FFC4F0CD"/>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font>
        <b val="0"/>
        <i val="0"/>
        <strike val="0"/>
        <condense val="0"/>
        <extend val="0"/>
        <outline val="0"/>
        <shadow val="0"/>
        <u val="none"/>
        <vertAlign val="baseline"/>
        <sz val="10"/>
        <color theme="1"/>
        <name val="Calibri"/>
        <scheme val="minor"/>
      </font>
      <fill>
        <patternFill patternType="solid">
          <fgColor indexed="64"/>
          <bgColor rgb="FFC4F0CD"/>
        </patternFill>
      </fill>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FFFFFF"/>
        <name val="Calibri"/>
        <scheme val="minor"/>
      </font>
      <numFmt numFmtId="30" formatCode="@"/>
      <fill>
        <patternFill patternType="solid">
          <fgColor indexed="64"/>
          <bgColor rgb="FF808080"/>
        </patternFill>
      </fill>
      <alignment horizontal="center" vertical="bottom"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ttom style="thin">
          <color rgb="FF000000"/>
        </bottom>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FFFFFF"/>
        <name val="Calibri"/>
        <scheme val="minor"/>
      </font>
      <numFmt numFmtId="30" formatCode="@"/>
      <fill>
        <patternFill patternType="solid">
          <fgColor indexed="64"/>
          <bgColor rgb="FF808080"/>
        </patternFill>
      </fill>
      <alignment horizontal="center" vertical="bottom" textRotation="0" wrapText="1" indent="0" justifyLastLine="0" shrinkToFit="0" readingOrder="0"/>
      <border diagonalUp="0" diagonalDown="0" outline="0">
        <left style="thin">
          <color rgb="FF000000"/>
        </left>
        <right style="thin">
          <color rgb="FF000000"/>
        </right>
        <top/>
        <bottom/>
      </border>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numFmt numFmtId="4" formatCode="#,##0.00"/>
    </dxf>
    <dxf>
      <numFmt numFmtId="0" formatCode="General"/>
    </dxf>
    <dxf>
      <fill>
        <patternFill patternType="none">
          <fgColor indexed="64"/>
          <bgColor auto="1"/>
        </patternFill>
      </fill>
    </dxf>
    <dxf>
      <font>
        <b val="0"/>
        <i val="0"/>
        <strike val="0"/>
        <condense val="0"/>
        <extend val="0"/>
        <outline val="0"/>
        <shadow val="0"/>
        <u val="none"/>
        <vertAlign val="baseline"/>
        <sz val="11"/>
        <color rgb="FF000000"/>
        <name val="Aptos Narrow"/>
        <family val="2"/>
        <scheme val="none"/>
      </font>
      <numFmt numFmtId="3" formatCode="#,##0"/>
    </dxf>
    <dxf>
      <font>
        <color rgb="FF000000"/>
      </font>
      <numFmt numFmtId="171" formatCode="_-* #,##0_-;\-* #,##0_-;_-* &quot;-&quot;??_-;_-@_-"/>
      <fill>
        <patternFill patternType="none">
          <fgColor indexed="64"/>
          <bgColor rgb="FFFFFF00"/>
        </patternFill>
      </fill>
    </dxf>
    <dxf>
      <font>
        <color rgb="FF000000"/>
      </font>
      <fill>
        <patternFill patternType="none">
          <fgColor indexed="64"/>
          <bgColor rgb="FFFFFF00"/>
        </patternFill>
      </fill>
    </dxf>
    <dxf>
      <font>
        <b/>
        <i val="0"/>
        <strike val="0"/>
        <condense val="0"/>
        <extend val="0"/>
        <outline val="0"/>
        <shadow val="0"/>
        <u val="none"/>
        <vertAlign val="baseline"/>
        <sz val="11"/>
        <color theme="1"/>
        <name val="Calibri"/>
        <family val="2"/>
        <scheme val="minor"/>
      </font>
    </dxf>
    <dxf>
      <font>
        <color rgb="FFFF0000"/>
      </fon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font>
        <color rgb="FFFF0000"/>
      </font>
    </dxf>
    <dxf>
      <fill>
        <patternFill>
          <bgColor rgb="FFFFFF00"/>
        </patternFill>
      </fill>
    </dxf>
    <dxf>
      <fill>
        <patternFill>
          <bgColor rgb="FFFFFF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00B050"/>
        </patternFill>
      </fill>
    </dxf>
    <dxf>
      <fill>
        <patternFill patternType="solid">
          <bgColor rgb="FF00B050"/>
        </patternFill>
      </fill>
    </dxf>
    <dxf>
      <fill>
        <patternFill patternType="solid">
          <bgColor rgb="FF00B05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patternType="solid">
          <bgColor rgb="FF92D050"/>
        </patternFill>
      </fill>
    </dxf>
    <dxf>
      <fill>
        <patternFill patternType="solid">
          <bgColor rgb="FF00B050"/>
        </patternFill>
      </fill>
    </dxf>
    <dxf>
      <fill>
        <patternFill patternType="solid">
          <bgColor rgb="FF00B050"/>
        </patternFill>
      </fill>
    </dxf>
    <dxf>
      <fill>
        <patternFill>
          <bgColor rgb="FF00B050"/>
        </patternFill>
      </fill>
    </dxf>
    <dxf>
      <fill>
        <patternFill>
          <bgColor rgb="FF00B050"/>
        </patternFill>
      </fill>
    </dxf>
    <dxf>
      <fill>
        <patternFill patternType="solid">
          <bgColor rgb="FF92D050"/>
        </patternFill>
      </fill>
    </dxf>
    <dxf>
      <fill>
        <patternFill patternType="solid">
          <bgColor rgb="FF92D050"/>
        </patternFill>
      </fill>
    </dxf>
    <dxf>
      <fill>
        <patternFill patternType="solid">
          <bgColor rgb="FF92D050"/>
        </patternFill>
      </fill>
    </dxf>
    <dxf>
      <numFmt numFmtId="35" formatCode="_-* #,##0.00_-;\-* #,##0.00_-;_-* &quot;-&quot;??_-;_-@_-"/>
    </dxf>
    <dxf>
      <font>
        <b val="0"/>
        <i val="0"/>
        <strike val="0"/>
        <condense val="0"/>
        <extend val="0"/>
        <outline val="0"/>
        <shadow val="0"/>
        <u val="none"/>
        <vertAlign val="baseline"/>
        <sz val="10"/>
        <color theme="1"/>
        <name val="Calibri"/>
        <scheme val="minor"/>
      </font>
      <numFmt numFmtId="171" formatCode="_-* #,##0_-;\-* #,##0_-;_-* &quot;-&quot;??_-;_-@_-"/>
      <fill>
        <patternFill patternType="solid">
          <fgColor indexed="64"/>
          <bgColor rgb="FFC4F0CD"/>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Calibri"/>
        <family val="2"/>
        <scheme val="minor"/>
      </font>
      <numFmt numFmtId="171" formatCode="_-* #,##0_-;\-* #,##0_-;_-* &quot;-&quot;??_-;_-@_-"/>
      <fill>
        <patternFill patternType="solid">
          <fgColor indexed="64"/>
          <bgColor rgb="FFC4F0CD"/>
        </patternFill>
      </fill>
      <alignment horizontal="general" vertical="bottom"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0"/>
        <color theme="1"/>
        <name val="Calibri"/>
        <scheme val="minor"/>
      </font>
      <fill>
        <patternFill patternType="solid">
          <fgColor indexed="64"/>
          <bgColor rgb="FFC4F0CD"/>
        </patternFill>
      </fill>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FFFFFF"/>
        <name val="Calibri"/>
        <scheme val="minor"/>
      </font>
      <numFmt numFmtId="30" formatCode="@"/>
      <fill>
        <patternFill patternType="solid">
          <fgColor indexed="64"/>
          <bgColor rgb="FF808080"/>
        </patternFill>
      </fill>
      <alignment horizontal="center" vertical="top" textRotation="0" wrapText="1" indent="0" justifyLastLine="0" shrinkToFit="0" readingOrder="0"/>
      <border diagonalUp="0" diagonalDown="0">
        <left style="thin">
          <color rgb="FF000000"/>
        </left>
        <right style="thin">
          <color rgb="FF000000"/>
        </right>
        <top/>
        <bottom/>
      </border>
    </dxf>
    <dxf>
      <font>
        <b val="0"/>
        <i val="0"/>
        <strike val="0"/>
        <condense val="0"/>
        <extend val="0"/>
        <outline val="0"/>
        <shadow val="0"/>
        <u val="none"/>
        <vertAlign val="baseline"/>
        <sz val="10"/>
        <color theme="1"/>
        <name val="Calibri"/>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172" formatCode="[=0]0;###,###.000"/>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FFFFFF"/>
        <name val="Calibri"/>
        <scheme val="minor"/>
      </font>
      <numFmt numFmtId="30" formatCode="@"/>
      <fill>
        <patternFill patternType="solid">
          <fgColor indexed="64"/>
          <bgColor rgb="FF808080"/>
        </patternFill>
      </fill>
      <alignment horizontal="center" vertical="bottom"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Calibri"/>
        <scheme val="minor"/>
      </font>
      <fill>
        <patternFill patternType="solid">
          <fgColor indexed="64"/>
          <bgColor rgb="FFC4F0CD"/>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172" formatCode="[=0]0;###,###.000"/>
      <fill>
        <patternFill patternType="solid">
          <fgColor indexed="64"/>
          <bgColor rgb="FFC4F0CD"/>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minor"/>
      </font>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font>
        <b val="0"/>
        <i val="0"/>
        <strike val="0"/>
        <condense val="0"/>
        <extend val="0"/>
        <outline val="0"/>
        <shadow val="0"/>
        <u val="none"/>
        <vertAlign val="baseline"/>
        <sz val="10"/>
        <color theme="1"/>
        <name val="Calibri"/>
        <scheme val="minor"/>
      </font>
      <fill>
        <patternFill patternType="solid">
          <fgColor indexed="64"/>
          <bgColor rgb="FFC4F0CD"/>
        </patternFill>
      </fill>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FFFFFF"/>
        <name val="Calibri"/>
        <scheme val="minor"/>
      </font>
      <numFmt numFmtId="30" formatCode="@"/>
      <fill>
        <patternFill patternType="solid">
          <fgColor indexed="64"/>
          <bgColor rgb="FF808080"/>
        </patternFill>
      </fill>
      <alignment horizontal="center" vertical="bottom" textRotation="0" wrapText="1" indent="0" justifyLastLine="0" shrinkToFit="0" readingOrder="0"/>
      <border diagonalUp="0" diagonalDown="0" outline="0">
        <left style="thin">
          <color rgb="FF000000"/>
        </left>
        <right style="thin">
          <color rgb="FF000000"/>
        </right>
        <top/>
        <bottom/>
      </border>
    </dxf>
    <dxf>
      <fill>
        <patternFill patternType="none">
          <fgColor indexed="64"/>
          <bgColor auto="1"/>
        </patternFill>
      </fill>
    </dxf>
    <dxf>
      <font>
        <b val="0"/>
        <i val="0"/>
        <strike val="0"/>
        <condense val="0"/>
        <extend val="0"/>
        <outline val="0"/>
        <shadow val="0"/>
        <u val="none"/>
        <vertAlign val="baseline"/>
        <sz val="11"/>
        <color rgb="FF000000"/>
        <name val="Aptos Narrow"/>
        <family val="2"/>
        <scheme val="none"/>
      </font>
      <numFmt numFmtId="3" formatCode="#,##0"/>
    </dxf>
    <dxf>
      <font>
        <color rgb="FF000000"/>
      </font>
      <numFmt numFmtId="0" formatCode="General"/>
      <fill>
        <patternFill patternType="none">
          <fgColor indexed="64"/>
          <bgColor rgb="FFFFFF00"/>
        </patternFill>
      </fill>
    </dxf>
    <dxf>
      <font>
        <color rgb="FF000000"/>
      </font>
      <fill>
        <patternFill patternType="none">
          <fgColor indexed="64"/>
          <bgColor rgb="FFFFFF00"/>
        </patternFill>
      </fill>
    </dxf>
    <dxf>
      <fill>
        <patternFill patternType="none">
          <fgColor indexed="64"/>
          <bgColor auto="1"/>
        </patternFill>
      </fill>
    </dxf>
    <dxf>
      <numFmt numFmtId="171" formatCode="_-* #,##0_-;\-* #,##0_-;_-* &quot;-&quot;??_-;_-@_-"/>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4.xml"/><Relationship Id="rId63" Type="http://schemas.openxmlformats.org/officeDocument/2006/relationships/externalLink" Target="externalLinks/externalLink20.xml"/><Relationship Id="rId68" Type="http://schemas.openxmlformats.org/officeDocument/2006/relationships/externalLink" Target="externalLinks/externalLink25.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74" Type="http://schemas.openxmlformats.org/officeDocument/2006/relationships/theme" Target="theme/theme1.xml"/><Relationship Id="rId79" Type="http://schemas.microsoft.com/office/2017/06/relationships/rdRichValueStructure" Target="richData/rdrichvaluestructure.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externalLink" Target="externalLinks/externalLink21.xml"/><Relationship Id="rId69" Type="http://schemas.openxmlformats.org/officeDocument/2006/relationships/externalLink" Target="externalLinks/externalLink26.xml"/><Relationship Id="rId77"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externalLink" Target="externalLinks/externalLink8.xml"/><Relationship Id="rId72" Type="http://schemas.openxmlformats.org/officeDocument/2006/relationships/pivotCacheDefinition" Target="pivotCache/pivotCacheDefinition1.xml"/><Relationship Id="rId80" Type="http://schemas.microsoft.com/office/2017/06/relationships/rdRichValueTypes" Target="richData/rdRichValueType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67" Type="http://schemas.openxmlformats.org/officeDocument/2006/relationships/externalLink" Target="externalLinks/externalLink2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externalLink" Target="externalLinks/externalLink19.xml"/><Relationship Id="rId70" Type="http://schemas.openxmlformats.org/officeDocument/2006/relationships/externalLink" Target="externalLinks/externalLink27.xml"/><Relationship Id="rId75" Type="http://schemas.openxmlformats.org/officeDocument/2006/relationships/styles" Target="styles.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65" Type="http://schemas.openxmlformats.org/officeDocument/2006/relationships/externalLink" Target="externalLinks/externalLink22.xml"/><Relationship Id="rId73" Type="http://schemas.openxmlformats.org/officeDocument/2006/relationships/pivotCacheDefinition" Target="pivotCache/pivotCacheDefinition2.xml"/><Relationship Id="rId78" Type="http://schemas.microsoft.com/office/2017/06/relationships/rdRichValue" Target="richData/rdrichvalue.xml"/><Relationship Id="rId8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2.xml"/><Relationship Id="rId66" Type="http://schemas.openxmlformats.org/officeDocument/2006/relationships/externalLink" Target="externalLinks/externalLink23.xml"/><Relationship Id="rId61" Type="http://schemas.openxmlformats.org/officeDocument/2006/relationships/externalLink" Target="externalLinks/externalLink18.xml"/><Relationship Id="rId8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Asset EUI vs 2030 Target (100 kWh/m²)</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Asset EUI (kWh/m2)</c:v>
          </c:tx>
          <c:spPr>
            <a:solidFill>
              <a:srgbClr val="4472C4"/>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5-F169-4AE5-97D5-24311CA211B8}"/>
              </c:ext>
            </c:extLst>
          </c:dPt>
          <c:dPt>
            <c:idx val="2"/>
            <c:invertIfNegative val="0"/>
            <c:bubble3D val="0"/>
            <c:spPr>
              <a:solidFill>
                <a:srgbClr val="C00000"/>
              </a:solidFill>
              <a:ln>
                <a:noFill/>
              </a:ln>
              <a:effectLst/>
            </c:spPr>
            <c:extLst>
              <c:ext xmlns:c16="http://schemas.microsoft.com/office/drawing/2014/chart" uri="{C3380CC4-5D6E-409C-BE32-E72D297353CC}">
                <c16:uniqueId val="{00000006-F169-4AE5-97D5-24311CA211B8}"/>
              </c:ext>
            </c:extLst>
          </c:dPt>
          <c:dPt>
            <c:idx val="3"/>
            <c:invertIfNegative val="0"/>
            <c:bubble3D val="0"/>
            <c:spPr>
              <a:solidFill>
                <a:srgbClr val="C00000"/>
              </a:solidFill>
              <a:ln>
                <a:noFill/>
              </a:ln>
              <a:effectLst/>
            </c:spPr>
            <c:extLst>
              <c:ext xmlns:c16="http://schemas.microsoft.com/office/drawing/2014/chart" uri="{C3380CC4-5D6E-409C-BE32-E72D297353CC}">
                <c16:uniqueId val="{00000007-F169-4AE5-97D5-24311CA211B8}"/>
              </c:ext>
            </c:extLst>
          </c:dPt>
          <c:dPt>
            <c:idx val="5"/>
            <c:invertIfNegative val="0"/>
            <c:bubble3D val="0"/>
            <c:spPr>
              <a:solidFill>
                <a:srgbClr val="C00000"/>
              </a:solidFill>
              <a:ln>
                <a:noFill/>
              </a:ln>
              <a:effectLst/>
            </c:spPr>
            <c:extLst>
              <c:ext xmlns:c16="http://schemas.microsoft.com/office/drawing/2014/chart" uri="{C3380CC4-5D6E-409C-BE32-E72D297353CC}">
                <c16:uniqueId val="{00000009-F169-4AE5-97D5-24311CA211B8}"/>
              </c:ext>
            </c:extLst>
          </c:dPt>
          <c:dPt>
            <c:idx val="6"/>
            <c:invertIfNegative val="0"/>
            <c:bubble3D val="0"/>
            <c:spPr>
              <a:solidFill>
                <a:srgbClr val="C00000"/>
              </a:solidFill>
              <a:ln>
                <a:noFill/>
              </a:ln>
              <a:effectLst/>
            </c:spPr>
            <c:extLst>
              <c:ext xmlns:c16="http://schemas.microsoft.com/office/drawing/2014/chart" uri="{C3380CC4-5D6E-409C-BE32-E72D297353CC}">
                <c16:uniqueId val="{0000000A-F169-4AE5-97D5-24311CA211B8}"/>
              </c:ext>
            </c:extLst>
          </c:dPt>
          <c:dPt>
            <c:idx val="7"/>
            <c:invertIfNegative val="0"/>
            <c:bubble3D val="0"/>
            <c:spPr>
              <a:solidFill>
                <a:srgbClr val="C00000"/>
              </a:solidFill>
              <a:ln>
                <a:noFill/>
              </a:ln>
              <a:effectLst/>
            </c:spPr>
            <c:extLst>
              <c:ext xmlns:c16="http://schemas.microsoft.com/office/drawing/2014/chart" uri="{C3380CC4-5D6E-409C-BE32-E72D297353CC}">
                <c16:uniqueId val="{0000000B-F169-4AE5-97D5-24311CA211B8}"/>
              </c:ext>
            </c:extLst>
          </c:dPt>
          <c:dPt>
            <c:idx val="8"/>
            <c:invertIfNegative val="0"/>
            <c:bubble3D val="0"/>
            <c:spPr>
              <a:solidFill>
                <a:srgbClr val="C00000"/>
              </a:solidFill>
              <a:ln>
                <a:noFill/>
              </a:ln>
              <a:effectLst/>
            </c:spPr>
            <c:extLst>
              <c:ext xmlns:c16="http://schemas.microsoft.com/office/drawing/2014/chart" uri="{C3380CC4-5D6E-409C-BE32-E72D297353CC}">
                <c16:uniqueId val="{0000000C-F169-4AE5-97D5-24311CA211B8}"/>
              </c:ext>
            </c:extLst>
          </c:dPt>
          <c:dPt>
            <c:idx val="9"/>
            <c:invertIfNegative val="0"/>
            <c:bubble3D val="0"/>
            <c:spPr>
              <a:solidFill>
                <a:srgbClr val="C00000"/>
              </a:solidFill>
              <a:ln>
                <a:noFill/>
              </a:ln>
              <a:effectLst/>
            </c:spPr>
            <c:extLst>
              <c:ext xmlns:c16="http://schemas.microsoft.com/office/drawing/2014/chart" uri="{C3380CC4-5D6E-409C-BE32-E72D297353CC}">
                <c16:uniqueId val="{0000000D-F169-4AE5-97D5-24311CA211B8}"/>
              </c:ext>
            </c:extLst>
          </c:dPt>
          <c:dPt>
            <c:idx val="10"/>
            <c:invertIfNegative val="0"/>
            <c:bubble3D val="0"/>
            <c:spPr>
              <a:solidFill>
                <a:srgbClr val="C00000"/>
              </a:solidFill>
              <a:ln>
                <a:noFill/>
              </a:ln>
              <a:effectLst/>
            </c:spPr>
            <c:extLst>
              <c:ext xmlns:c16="http://schemas.microsoft.com/office/drawing/2014/chart" uri="{C3380CC4-5D6E-409C-BE32-E72D297353CC}">
                <c16:uniqueId val="{00000011-F169-4AE5-97D5-24311CA211B8}"/>
              </c:ext>
            </c:extLst>
          </c:dPt>
          <c:dPt>
            <c:idx val="11"/>
            <c:invertIfNegative val="0"/>
            <c:bubble3D val="0"/>
            <c:spPr>
              <a:solidFill>
                <a:srgbClr val="C00000"/>
              </a:solidFill>
              <a:ln>
                <a:noFill/>
              </a:ln>
              <a:effectLst/>
            </c:spPr>
            <c:extLst>
              <c:ext xmlns:c16="http://schemas.microsoft.com/office/drawing/2014/chart" uri="{C3380CC4-5D6E-409C-BE32-E72D297353CC}">
                <c16:uniqueId val="{00000014-F169-4AE5-97D5-24311CA211B8}"/>
              </c:ext>
            </c:extLst>
          </c:dPt>
          <c:cat>
            <c:strRef>
              <c:extLst>
                <c:ext xmlns:c15="http://schemas.microsoft.com/office/drawing/2012/chart" uri="{02D57815-91ED-43cb-92C2-25804820EDAC}">
                  <c15:fullRef>
                    <c15:sqref>'All building EUI'!$K$2:$K$20</c15:sqref>
                  </c15:fullRef>
                </c:ext>
              </c:extLst>
              <c:f>('All building EUI'!$K$2:$K$11,'All building EUI'!$K$15,'All building EUI'!$K$18)</c:f>
              <c:strCache>
                <c:ptCount val="12"/>
                <c:pt idx="0">
                  <c:v>1 Cumberland Place </c:v>
                </c:pt>
                <c:pt idx="1">
                  <c:v>1 Windmill Lane</c:v>
                </c:pt>
                <c:pt idx="2">
                  <c:v>1-6 Sir John Rogerson's Quay</c:v>
                </c:pt>
                <c:pt idx="3">
                  <c:v>2 Cumberland Place </c:v>
                </c:pt>
                <c:pt idx="4">
                  <c:v>2 Windmill Lane</c:v>
                </c:pt>
                <c:pt idx="5">
                  <c:v>50 City Quay</c:v>
                </c:pt>
                <c:pt idx="6">
                  <c:v>Hardwicke House</c:v>
                </c:pt>
                <c:pt idx="7">
                  <c:v>Montague House</c:v>
                </c:pt>
                <c:pt idx="8">
                  <c:v>Observatory</c:v>
                </c:pt>
                <c:pt idx="9">
                  <c:v>SOBO Works</c:v>
                </c:pt>
                <c:pt idx="10">
                  <c:v>South Dock House</c:v>
                </c:pt>
                <c:pt idx="11">
                  <c:v>Earlsfort Terrace</c:v>
                </c:pt>
              </c:strCache>
            </c:strRef>
          </c:cat>
          <c:val>
            <c:numRef>
              <c:extLst>
                <c:ext xmlns:c15="http://schemas.microsoft.com/office/drawing/2012/chart" uri="{02D57815-91ED-43cb-92C2-25804820EDAC}">
                  <c15:fullRef>
                    <c15:sqref>'All building EUI'!$L$2:$L$20</c15:sqref>
                  </c15:fullRef>
                </c:ext>
              </c:extLst>
              <c:f>('All building EUI'!$L$2:$L$11,'All building EUI'!$L$15,'All building EUI'!$L$18)</c:f>
              <c:numCache>
                <c:formatCode>General</c:formatCode>
                <c:ptCount val="12"/>
                <c:pt idx="0">
                  <c:v>62.735704208313749</c:v>
                </c:pt>
                <c:pt idx="1">
                  <c:v>103.31534299457137</c:v>
                </c:pt>
                <c:pt idx="2">
                  <c:v>205.18910338278283</c:v>
                </c:pt>
                <c:pt idx="3">
                  <c:v>154.74270439163783</c:v>
                </c:pt>
                <c:pt idx="4">
                  <c:v>77.405215900561515</c:v>
                </c:pt>
                <c:pt idx="5">
                  <c:v>104.62429215526768</c:v>
                </c:pt>
                <c:pt idx="6">
                  <c:v>221.75824574245266</c:v>
                </c:pt>
                <c:pt idx="7">
                  <c:v>138.28996340529736</c:v>
                </c:pt>
                <c:pt idx="8">
                  <c:v>162.70276451503469</c:v>
                </c:pt>
                <c:pt idx="9">
                  <c:v>138.41479104084482</c:v>
                </c:pt>
                <c:pt idx="10">
                  <c:v>269.08099481566819</c:v>
                </c:pt>
                <c:pt idx="11">
                  <c:v>159.59465684373788</c:v>
                </c:pt>
              </c:numCache>
            </c:numRef>
          </c:val>
          <c:extLst>
            <c:ext xmlns:c16="http://schemas.microsoft.com/office/drawing/2014/chart" uri="{C3380CC4-5D6E-409C-BE32-E72D297353CC}">
              <c16:uniqueId val="{00000000-F169-4AE5-97D5-24311CA211B8}"/>
            </c:ext>
          </c:extLst>
        </c:ser>
        <c:dLbls>
          <c:showLegendKey val="0"/>
          <c:showVal val="0"/>
          <c:showCatName val="0"/>
          <c:showSerName val="0"/>
          <c:showPercent val="0"/>
          <c:showBubbleSize val="0"/>
        </c:dLbls>
        <c:gapWidth val="219"/>
        <c:overlap val="-27"/>
        <c:axId val="1472963592"/>
        <c:axId val="1472965640"/>
      </c:barChart>
      <c:lineChart>
        <c:grouping val="standard"/>
        <c:varyColors val="0"/>
        <c:ser>
          <c:idx val="1"/>
          <c:order val="1"/>
          <c:tx>
            <c:v>EUI Target</c:v>
          </c:tx>
          <c:spPr>
            <a:ln w="28575" cap="rnd">
              <a:solidFill>
                <a:srgbClr val="000000"/>
              </a:solidFill>
              <a:prstDash val="solid"/>
              <a:round/>
            </a:ln>
            <a:effectLst/>
          </c:spPr>
          <c:marker>
            <c:symbol val="none"/>
          </c:marker>
          <c:cat>
            <c:strRef>
              <c:extLst>
                <c:ext xmlns:c15="http://schemas.microsoft.com/office/drawing/2012/chart" uri="{02D57815-91ED-43cb-92C2-25804820EDAC}">
                  <c15:fullRef>
                    <c15:sqref>'All building EUI'!$K$2:$K$20</c15:sqref>
                  </c15:fullRef>
                </c:ext>
              </c:extLst>
              <c:f>('All building EUI'!$K$2:$K$11,'All building EUI'!$K$15,'All building EUI'!$K$18)</c:f>
              <c:strCache>
                <c:ptCount val="12"/>
                <c:pt idx="0">
                  <c:v>1 Cumberland Place </c:v>
                </c:pt>
                <c:pt idx="1">
                  <c:v>1 Windmill Lane</c:v>
                </c:pt>
                <c:pt idx="2">
                  <c:v>1-6 Sir John Rogerson's Quay</c:v>
                </c:pt>
                <c:pt idx="3">
                  <c:v>2 Cumberland Place </c:v>
                </c:pt>
                <c:pt idx="4">
                  <c:v>2 Windmill Lane</c:v>
                </c:pt>
                <c:pt idx="5">
                  <c:v>50 City Quay</c:v>
                </c:pt>
                <c:pt idx="6">
                  <c:v>Hardwicke House</c:v>
                </c:pt>
                <c:pt idx="7">
                  <c:v>Montague House</c:v>
                </c:pt>
                <c:pt idx="8">
                  <c:v>Observatory</c:v>
                </c:pt>
                <c:pt idx="9">
                  <c:v>SOBO Works</c:v>
                </c:pt>
                <c:pt idx="10">
                  <c:v>South Dock House</c:v>
                </c:pt>
                <c:pt idx="11">
                  <c:v>Earlsfort Terrace</c:v>
                </c:pt>
              </c:strCache>
            </c:strRef>
          </c:cat>
          <c:val>
            <c:numRef>
              <c:extLst>
                <c:ext xmlns:c15="http://schemas.microsoft.com/office/drawing/2012/chart" uri="{02D57815-91ED-43cb-92C2-25804820EDAC}">
                  <c15:fullRef>
                    <c15:sqref>'All building EUI'!$N$2:$N$20</c15:sqref>
                  </c15:fullRef>
                </c:ext>
              </c:extLst>
              <c:f>('All building EUI'!$N$2:$N$11,'All building EUI'!$N$15,'All building EUI'!$N$18)</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smooth val="0"/>
          <c:extLst>
            <c:ext xmlns:c16="http://schemas.microsoft.com/office/drawing/2014/chart" uri="{C3380CC4-5D6E-409C-BE32-E72D297353CC}">
              <c16:uniqueId val="{7A507A20-519F-4FCF-9152-17C5968A534E}"/>
            </c:ext>
          </c:extLst>
        </c:ser>
        <c:dLbls>
          <c:showLegendKey val="0"/>
          <c:showVal val="0"/>
          <c:showCatName val="0"/>
          <c:showSerName val="0"/>
          <c:showPercent val="0"/>
          <c:showBubbleSize val="0"/>
        </c:dLbls>
        <c:marker val="1"/>
        <c:smooth val="0"/>
        <c:axId val="1472963592"/>
        <c:axId val="1472965640"/>
      </c:lineChart>
      <c:catAx>
        <c:axId val="1472963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2965640"/>
        <c:crosses val="autoZero"/>
        <c:auto val="1"/>
        <c:lblAlgn val="ctr"/>
        <c:lblOffset val="100"/>
        <c:noMultiLvlLbl val="0"/>
      </c:catAx>
      <c:valAx>
        <c:axId val="1472965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EUI (kWh/m²)</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2963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'Target EUI'!$C$6</c:f>
              <c:strCache>
                <c:ptCount val="1"/>
                <c:pt idx="0">
                  <c:v>Landlord electricity</c:v>
                </c:pt>
              </c:strCache>
            </c:strRef>
          </c:tx>
          <c:spPr>
            <a:solidFill>
              <a:srgbClr val="222B35"/>
            </a:solidFill>
            <a:ln>
              <a:noFill/>
            </a:ln>
            <a:effectLst/>
          </c:spPr>
          <c:invertIfNegative val="0"/>
          <c:cat>
            <c:numRef>
              <c:f>'Target EUI'!$A$8:$A$13</c:f>
              <c:numCache>
                <c:formatCode>General</c:formatCode>
                <c:ptCount val="6"/>
                <c:pt idx="0">
                  <c:v>2019</c:v>
                </c:pt>
                <c:pt idx="1">
                  <c:v>2020</c:v>
                </c:pt>
                <c:pt idx="2">
                  <c:v>2021</c:v>
                </c:pt>
                <c:pt idx="3">
                  <c:v>2022</c:v>
                </c:pt>
                <c:pt idx="4">
                  <c:v>2023</c:v>
                </c:pt>
                <c:pt idx="5">
                  <c:v>2024</c:v>
                </c:pt>
              </c:numCache>
            </c:numRef>
          </c:cat>
          <c:val>
            <c:numRef>
              <c:f>'Target EUI'!$C$8:$C$13</c:f>
              <c:numCache>
                <c:formatCode>_-* #,##0_-;\-* #,##0_-;_-* "-"??_-;_-@_-</c:formatCode>
                <c:ptCount val="6"/>
                <c:pt idx="0">
                  <c:v>5664745</c:v>
                </c:pt>
                <c:pt idx="1">
                  <c:v>4230840</c:v>
                </c:pt>
                <c:pt idx="2">
                  <c:v>3495067</c:v>
                </c:pt>
                <c:pt idx="3">
                  <c:v>2489806</c:v>
                </c:pt>
                <c:pt idx="4">
                  <c:v>2382322.0520000001</c:v>
                </c:pt>
                <c:pt idx="5">
                  <c:v>2271089.2590000001</c:v>
                </c:pt>
              </c:numCache>
            </c:numRef>
          </c:val>
          <c:extLst>
            <c:ext xmlns:c16="http://schemas.microsoft.com/office/drawing/2014/chart" uri="{C3380CC4-5D6E-409C-BE32-E72D297353CC}">
              <c16:uniqueId val="{00000000-1A9A-4CA9-B757-84DC489FEBB6}"/>
            </c:ext>
          </c:extLst>
        </c:ser>
        <c:ser>
          <c:idx val="2"/>
          <c:order val="1"/>
          <c:tx>
            <c:strRef>
              <c:f>'Target EUI'!$E$6</c:f>
              <c:strCache>
                <c:ptCount val="1"/>
                <c:pt idx="0">
                  <c:v>Landlord gas</c:v>
                </c:pt>
              </c:strCache>
            </c:strRef>
          </c:tx>
          <c:spPr>
            <a:solidFill>
              <a:srgbClr val="305496"/>
            </a:solidFill>
            <a:ln>
              <a:noFill/>
            </a:ln>
            <a:effectLst/>
          </c:spPr>
          <c:invertIfNegative val="0"/>
          <c:cat>
            <c:numRef>
              <c:f>'Target EUI'!$A$8:$A$13</c:f>
              <c:numCache>
                <c:formatCode>General</c:formatCode>
                <c:ptCount val="6"/>
                <c:pt idx="0">
                  <c:v>2019</c:v>
                </c:pt>
                <c:pt idx="1">
                  <c:v>2020</c:v>
                </c:pt>
                <c:pt idx="2">
                  <c:v>2021</c:v>
                </c:pt>
                <c:pt idx="3">
                  <c:v>2022</c:v>
                </c:pt>
                <c:pt idx="4">
                  <c:v>2023</c:v>
                </c:pt>
                <c:pt idx="5">
                  <c:v>2024</c:v>
                </c:pt>
              </c:numCache>
            </c:numRef>
          </c:cat>
          <c:val>
            <c:numRef>
              <c:f>'Target EUI'!$E$8:$E$13</c:f>
              <c:numCache>
                <c:formatCode>_-* #,##0_-;\-* #,##0_-;_-* "-"??_-;_-@_-</c:formatCode>
                <c:ptCount val="6"/>
                <c:pt idx="0">
                  <c:v>3518800</c:v>
                </c:pt>
                <c:pt idx="1">
                  <c:v>2873221.2</c:v>
                </c:pt>
                <c:pt idx="2">
                  <c:v>2302608.4</c:v>
                </c:pt>
                <c:pt idx="3">
                  <c:v>1415614.7662952002</c:v>
                </c:pt>
                <c:pt idx="4">
                  <c:v>1291574.2916000001</c:v>
                </c:pt>
                <c:pt idx="5">
                  <c:v>1282985.34476</c:v>
                </c:pt>
              </c:numCache>
            </c:numRef>
          </c:val>
          <c:extLst>
            <c:ext xmlns:c16="http://schemas.microsoft.com/office/drawing/2014/chart" uri="{C3380CC4-5D6E-409C-BE32-E72D297353CC}">
              <c16:uniqueId val="{00000001-1A9A-4CA9-B757-84DC489FEBB6}"/>
            </c:ext>
          </c:extLst>
        </c:ser>
        <c:ser>
          <c:idx val="3"/>
          <c:order val="2"/>
          <c:tx>
            <c:strRef>
              <c:f>'Target EUI'!$F$6</c:f>
              <c:strCache>
                <c:ptCount val="1"/>
                <c:pt idx="0">
                  <c:v>Occupier electricity</c:v>
                </c:pt>
              </c:strCache>
            </c:strRef>
          </c:tx>
          <c:spPr>
            <a:solidFill>
              <a:srgbClr val="2F75B5"/>
            </a:solidFill>
            <a:ln>
              <a:noFill/>
            </a:ln>
            <a:effectLst/>
          </c:spPr>
          <c:invertIfNegative val="0"/>
          <c:cat>
            <c:numRef>
              <c:f>'Target EUI'!$A$8:$A$13</c:f>
              <c:numCache>
                <c:formatCode>General</c:formatCode>
                <c:ptCount val="6"/>
                <c:pt idx="0">
                  <c:v>2019</c:v>
                </c:pt>
                <c:pt idx="1">
                  <c:v>2020</c:v>
                </c:pt>
                <c:pt idx="2">
                  <c:v>2021</c:v>
                </c:pt>
                <c:pt idx="3">
                  <c:v>2022</c:v>
                </c:pt>
                <c:pt idx="4">
                  <c:v>2023</c:v>
                </c:pt>
                <c:pt idx="5">
                  <c:v>2024</c:v>
                </c:pt>
              </c:numCache>
            </c:numRef>
          </c:cat>
          <c:val>
            <c:numRef>
              <c:f>'Target EUI'!$F$8:$F$13</c:f>
              <c:numCache>
                <c:formatCode>_-* #,##0_-;\-* #,##0_-;_-* "-"??_-;_-@_-</c:formatCode>
                <c:ptCount val="6"/>
                <c:pt idx="0">
                  <c:v>8145594</c:v>
                </c:pt>
                <c:pt idx="1">
                  <c:v>5145765</c:v>
                </c:pt>
                <c:pt idx="2">
                  <c:v>4290962</c:v>
                </c:pt>
                <c:pt idx="3">
                  <c:v>4284231</c:v>
                </c:pt>
                <c:pt idx="4">
                  <c:v>3815713.9310000003</c:v>
                </c:pt>
                <c:pt idx="5">
                  <c:v>4003127.764</c:v>
                </c:pt>
              </c:numCache>
            </c:numRef>
          </c:val>
          <c:extLst>
            <c:ext xmlns:c16="http://schemas.microsoft.com/office/drawing/2014/chart" uri="{C3380CC4-5D6E-409C-BE32-E72D297353CC}">
              <c16:uniqueId val="{00000002-1A9A-4CA9-B757-84DC489FEBB6}"/>
            </c:ext>
          </c:extLst>
        </c:ser>
        <c:dLbls>
          <c:showLegendKey val="0"/>
          <c:showVal val="0"/>
          <c:showCatName val="0"/>
          <c:showSerName val="0"/>
          <c:showPercent val="0"/>
          <c:showBubbleSize val="0"/>
        </c:dLbls>
        <c:gapWidth val="150"/>
        <c:overlap val="100"/>
        <c:axId val="335499512"/>
        <c:axId val="1507956103"/>
      </c:barChart>
      <c:lineChart>
        <c:grouping val="standard"/>
        <c:varyColors val="0"/>
        <c:ser>
          <c:idx val="5"/>
          <c:order val="3"/>
          <c:tx>
            <c:strRef>
              <c:f>'Target EUI'!$H$6</c:f>
              <c:strCache>
                <c:ptCount val="1"/>
                <c:pt idx="0">
                  <c:v>Energy-use-intensity</c:v>
                </c:pt>
              </c:strCache>
            </c:strRef>
          </c:tx>
          <c:spPr>
            <a:ln w="28575" cap="rnd">
              <a:solidFill>
                <a:schemeClr val="accent6"/>
              </a:solidFill>
              <a:round/>
            </a:ln>
            <a:effectLst/>
          </c:spPr>
          <c:marker>
            <c:symbol val="none"/>
          </c:marker>
          <c:cat>
            <c:numRef>
              <c:f>'Target EUI'!$A$8:$A$11</c:f>
              <c:numCache>
                <c:formatCode>General</c:formatCode>
                <c:ptCount val="4"/>
                <c:pt idx="0">
                  <c:v>2019</c:v>
                </c:pt>
                <c:pt idx="1">
                  <c:v>2020</c:v>
                </c:pt>
                <c:pt idx="2">
                  <c:v>2021</c:v>
                </c:pt>
                <c:pt idx="3">
                  <c:v>2022</c:v>
                </c:pt>
              </c:numCache>
            </c:numRef>
          </c:cat>
          <c:val>
            <c:numRef>
              <c:f>'Target EUI'!$H$8:$H$13</c:f>
              <c:numCache>
                <c:formatCode>0</c:formatCode>
                <c:ptCount val="6"/>
                <c:pt idx="0">
                  <c:v>297.01945765562181</c:v>
                </c:pt>
                <c:pt idx="1">
                  <c:v>217.56389100559687</c:v>
                </c:pt>
                <c:pt idx="2">
                  <c:v>177.92456052762961</c:v>
                </c:pt>
                <c:pt idx="3">
                  <c:v>135.49516001888577</c:v>
                </c:pt>
                <c:pt idx="4">
                  <c:v>123.85337786261235</c:v>
                </c:pt>
                <c:pt idx="5">
                  <c:v>124.57215098976837</c:v>
                </c:pt>
              </c:numCache>
            </c:numRef>
          </c:val>
          <c:smooth val="0"/>
          <c:extLst>
            <c:ext xmlns:c16="http://schemas.microsoft.com/office/drawing/2014/chart" uri="{C3380CC4-5D6E-409C-BE32-E72D297353CC}">
              <c16:uniqueId val="{00000003-1A9A-4CA9-B757-84DC489FEBB6}"/>
            </c:ext>
          </c:extLst>
        </c:ser>
        <c:dLbls>
          <c:showLegendKey val="0"/>
          <c:showVal val="0"/>
          <c:showCatName val="0"/>
          <c:showSerName val="0"/>
          <c:showPercent val="0"/>
          <c:showBubbleSize val="0"/>
        </c:dLbls>
        <c:marker val="1"/>
        <c:smooth val="0"/>
        <c:axId val="999240848"/>
        <c:axId val="999234008"/>
        <c:extLst>
          <c:ext xmlns:c15="http://schemas.microsoft.com/office/drawing/2012/chart" uri="{02D57815-91ED-43cb-92C2-25804820EDAC}">
            <c15:filteredLineSeries>
              <c15:ser>
                <c:idx val="1"/>
                <c:order val="4"/>
                <c:tx>
                  <c:strRef>
                    <c:extLst>
                      <c:ext uri="{02D57815-91ED-43cb-92C2-25804820EDAC}">
                        <c15:formulaRef>
                          <c15:sqref>'Target EUI'!$L$6</c15:sqref>
                        </c15:formulaRef>
                      </c:ext>
                    </c:extLst>
                    <c:strCache>
                      <c:ptCount val="1"/>
                      <c:pt idx="0">
                        <c:v>NZC EUI target - 2030</c:v>
                      </c:pt>
                    </c:strCache>
                  </c:strRef>
                </c:tx>
                <c:spPr>
                  <a:ln w="28575" cap="rnd">
                    <a:solidFill>
                      <a:srgbClr val="FF0000"/>
                    </a:solidFill>
                    <a:round/>
                  </a:ln>
                  <a:effectLst/>
                </c:spPr>
                <c:marker>
                  <c:symbol val="none"/>
                </c:marker>
                <c:cat>
                  <c:numRef>
                    <c:extLst>
                      <c:ext uri="{02D57815-91ED-43cb-92C2-25804820EDAC}">
                        <c15:formulaRef>
                          <c15:sqref>'Target EUI'!$A$8:$A$12</c15:sqref>
                        </c15:formulaRef>
                      </c:ext>
                    </c:extLst>
                    <c:numCache>
                      <c:formatCode>General</c:formatCode>
                      <c:ptCount val="5"/>
                      <c:pt idx="0">
                        <c:v>2019</c:v>
                      </c:pt>
                      <c:pt idx="1">
                        <c:v>2020</c:v>
                      </c:pt>
                      <c:pt idx="2">
                        <c:v>2021</c:v>
                      </c:pt>
                      <c:pt idx="3">
                        <c:v>2022</c:v>
                      </c:pt>
                      <c:pt idx="4">
                        <c:v>2023</c:v>
                      </c:pt>
                    </c:numCache>
                  </c:numRef>
                </c:cat>
                <c:val>
                  <c:numRef>
                    <c:extLst>
                      <c:ext uri="{02D57815-91ED-43cb-92C2-25804820EDAC}">
                        <c15:formulaRef>
                          <c15:sqref>'Target EUI'!$L$8:$L$13</c15:sqref>
                        </c15:formulaRef>
                      </c:ext>
                    </c:extLst>
                    <c:numCache>
                      <c:formatCode>General</c:formatCode>
                      <c:ptCount val="6"/>
                      <c:pt idx="0">
                        <c:v>153</c:v>
                      </c:pt>
                      <c:pt idx="1">
                        <c:v>153</c:v>
                      </c:pt>
                      <c:pt idx="2">
                        <c:v>153</c:v>
                      </c:pt>
                      <c:pt idx="3">
                        <c:v>153</c:v>
                      </c:pt>
                      <c:pt idx="4">
                        <c:v>153</c:v>
                      </c:pt>
                      <c:pt idx="5">
                        <c:v>153</c:v>
                      </c:pt>
                    </c:numCache>
                  </c:numRef>
                </c:val>
                <c:smooth val="0"/>
                <c:extLst>
                  <c:ext xmlns:c16="http://schemas.microsoft.com/office/drawing/2014/chart" uri="{C3380CC4-5D6E-409C-BE32-E72D297353CC}">
                    <c16:uniqueId val="{00000004-1A9A-4CA9-B757-84DC489FEBB6}"/>
                  </c:ext>
                </c:extLst>
              </c15:ser>
            </c15:filteredLineSeries>
          </c:ext>
        </c:extLst>
      </c:lineChart>
      <c:catAx>
        <c:axId val="3354995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07956103"/>
        <c:crosses val="autoZero"/>
        <c:auto val="1"/>
        <c:lblAlgn val="ctr"/>
        <c:lblOffset val="100"/>
        <c:noMultiLvlLbl val="0"/>
      </c:catAx>
      <c:valAx>
        <c:axId val="1507956103"/>
        <c:scaling>
          <c:orientation val="minMax"/>
        </c:scaling>
        <c:delete val="0"/>
        <c:axPos val="l"/>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a:t>kWh</a:t>
                </a:r>
              </a:p>
            </c:rich>
          </c:tx>
          <c:layout>
            <c:manualLayout>
              <c:xMode val="edge"/>
              <c:yMode val="edge"/>
              <c:x val="1.8636171113934775E-2"/>
              <c:y val="0.39705102069903297"/>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335499512"/>
        <c:crosses val="autoZero"/>
        <c:crossBetween val="between"/>
      </c:valAx>
      <c:valAx>
        <c:axId val="999234008"/>
        <c:scaling>
          <c:orientation val="minMax"/>
        </c:scaling>
        <c:delete val="0"/>
        <c:axPos val="r"/>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a:t>kWh.sqm.yr</a:t>
                </a:r>
                <a:endParaRPr lang="en-IE"/>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IE"/>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999240848"/>
        <c:crosses val="max"/>
        <c:crossBetween val="between"/>
      </c:valAx>
      <c:catAx>
        <c:axId val="999240848"/>
        <c:scaling>
          <c:orientation val="minMax"/>
        </c:scaling>
        <c:delete val="1"/>
        <c:axPos val="b"/>
        <c:numFmt formatCode="General" sourceLinked="1"/>
        <c:majorTickMark val="out"/>
        <c:minorTickMark val="none"/>
        <c:tickLblPos val="nextTo"/>
        <c:crossAx val="999234008"/>
        <c:crosses val="autoZero"/>
        <c:auto val="1"/>
        <c:lblAlgn val="ctr"/>
        <c:lblOffset val="100"/>
        <c:noMultiLvlLbl val="0"/>
      </c:catAx>
      <c:spPr>
        <a:noFill/>
        <a:ln>
          <a:noFill/>
        </a:ln>
        <a:effectLst/>
      </c:spPr>
    </c:plotArea>
    <c:legend>
      <c:legendPos val="b"/>
      <c:overlay val="0"/>
      <c:spPr>
        <a:solidFill>
          <a:srgbClr val="FFFFFF"/>
        </a:solidFill>
        <a:ln>
          <a:noFill/>
          <a:prstDash val="solid"/>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b="1"/>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371F670B-3E5A-4694-9CFC-B15028261ABF}">
    <Anchor>
      <Comment id="{AE622491-9E43-4EB7-9759-134707DBF878}"/>
    </Anchor>
    <History>
      <Event time="2025-05-07T20:38:00.13" id="{1AE6152D-B49C-4B7A-9F4B-19A18BED8849}">
        <Attribution userId="S::nmenzies@hiberniareg.com::b8d20cec-a24e-4087-a628-85d3b84ce4e2" userName="Neil Menzies" userProvider="AD"/>
        <Anchor>
          <Comment id="{AE622491-9E43-4EB7-9759-134707DBF878}"/>
        </Anchor>
        <Create/>
      </Event>
      <Event time="2025-05-07T20:38:00.13" id="{9B8DBB9A-C60E-4A97-81DA-DF9E1B789397}">
        <Attribution userId="S::nmenzies@hiberniareg.com::b8d20cec-a24e-4087-a628-85d3b84ce4e2" userName="Neil Menzies" userProvider="AD"/>
        <Anchor>
          <Comment id="{AE622491-9E43-4EB7-9759-134707DBF878}"/>
        </Anchor>
        <Assign userId="S::LPuplett@hiberniareg.com::48829060-02db-4647-94a9-fe4a181b0d25" userName="Louise Puplett" userProvider="AD"/>
      </Event>
      <Event time="2025-05-07T20:38:00.13" id="{93066B11-A62D-4B7D-AE18-20B11FD4886B}">
        <Attribution userId="S::nmenzies@hiberniareg.com::b8d20cec-a24e-4087-a628-85d3b84ce4e2" userName="Neil Menzies" userProvider="AD"/>
        <Anchor>
          <Comment id="{AE622491-9E43-4EB7-9759-134707DBF878}"/>
        </Anchor>
        <SetTitle title="@Louise Puplett Please provide evidence e.g., an export from a system where volunteer hours are logged and the calculation methodology."/>
      </Event>
    </History>
  </Task>
  <Task id="{908A701E-FC01-45D7-9D79-97BF4A39B467}">
    <Anchor>
      <Comment id="{207A3313-01A8-44A0-A935-E8F7B7E6903D}"/>
    </Anchor>
    <History>
      <Event time="2025-05-07T20:53:27.76" id="{14B35865-D6B6-46A0-B3DA-EAD8EA06C5C2}">
        <Attribution userId="S::nmenzies@hiberniareg.com::b8d20cec-a24e-4087-a628-85d3b84ce4e2" userName="Neil Menzies" userProvider="AD"/>
        <Anchor>
          <Comment id="{207A3313-01A8-44A0-A935-E8F7B7E6903D}"/>
        </Anchor>
        <Create/>
      </Event>
      <Event time="2025-05-07T20:53:27.76" id="{D67F20D1-E21C-43A2-A84B-A1A47BD7C210}">
        <Attribution userId="S::nmenzies@hiberniareg.com::b8d20cec-a24e-4087-a628-85d3b84ce4e2" userName="Neil Menzies" userProvider="AD"/>
        <Anchor>
          <Comment id="{207A3313-01A8-44A0-A935-E8F7B7E6903D}"/>
        </Anchor>
        <Assign userId="S::hokeeffe@hiberniareg.com::783f3d23-abac-41b0-ba3d-b06b98d09785" userName="Hannah O' Keeffe" userProvider="AD"/>
      </Event>
      <Event time="2025-05-07T20:53:27.76" id="{29F2895D-00B8-49A4-BE45-523F61DCE6E9}">
        <Attribution userId="S::nmenzies@hiberniareg.com::b8d20cec-a24e-4087-a628-85d3b84ce4e2" userName="Neil Menzies" userProvider="AD"/>
        <Anchor>
          <Comment id="{207A3313-01A8-44A0-A935-E8F7B7E6903D}"/>
        </Anchor>
        <SetTitle title="@Hannah O' Keeffe can you please provide here the number of student placements from 2024 - TY students only I think. As evidence can we get an email or documents that includes the names of the students who took part?"/>
      </Event>
    </History>
  </Task>
  <Task id="{619DA932-7EDE-48C0-8916-F8CADFBA0B23}">
    <Anchor>
      <Comment id="{805F00D5-37CC-4A6D-A405-4FECC96263E5}"/>
    </Anchor>
    <History>
      <Event time="2025-05-07T20:35:52.18" id="{192DD5FD-9742-4778-8A3F-C6D5E2224179}">
        <Attribution userId="S::nmenzies@hiberniareg.com::b8d20cec-a24e-4087-a628-85d3b84ce4e2" userName="Neil Menzies" userProvider="AD"/>
        <Anchor>
          <Comment id="{805F00D5-37CC-4A6D-A405-4FECC96263E5}"/>
        </Anchor>
        <Create/>
      </Event>
      <Event time="2025-05-07T20:35:52.18" id="{DC2DF156-CC55-4727-BFE0-2CFED73F1D01}">
        <Attribution userId="S::nmenzies@hiberniareg.com::b8d20cec-a24e-4087-a628-85d3b84ce4e2" userName="Neil Menzies" userProvider="AD"/>
        <Anchor>
          <Comment id="{805F00D5-37CC-4A6D-A405-4FECC96263E5}"/>
        </Anchor>
        <Assign userId="S::LPuplett@hiberniareg.com::48829060-02db-4647-94a9-fe4a181b0d25" userName="Louise Puplett" userProvider="AD"/>
      </Event>
      <Event time="2025-05-07T20:35:52.18" id="{63EBFCDE-51BD-4E53-ABFE-87065AFFC9D7}">
        <Attribution userId="S::nmenzies@hiberniareg.com::b8d20cec-a24e-4087-a628-85d3b84ce4e2" userName="Neil Menzies" userProvider="AD"/>
        <Anchor>
          <Comment id="{805F00D5-37CC-4A6D-A405-4FECC96263E5}"/>
        </Anchor>
        <SetTitle title="@Louise Puplett Please provide an export from the system with hours of training per topic."/>
      </Event>
    </History>
  </Task>
  <Task id="{5BFD2946-DB1B-406B-AC5D-4617ED1925B8}">
    <Anchor>
      <Comment id="{6221270C-35C4-49ED-8CB9-A3E3E8C87610}"/>
    </Anchor>
    <History>
      <Event time="2025-05-07T20:23:17.14" id="{32BA5D61-F80A-46FC-A1D7-B2D8804A570A}">
        <Attribution userId="S::nmenzies@hiberniareg.com::b8d20cec-a24e-4087-a628-85d3b84ce4e2" userName="Neil Menzies" userProvider="AD"/>
        <Anchor>
          <Comment id="{6221270C-35C4-49ED-8CB9-A3E3E8C87610}"/>
        </Anchor>
        <Create/>
      </Event>
      <Event time="2025-05-07T20:23:17.14" id="{DC2139E8-56BA-4A79-861D-6B1F37F0904D}">
        <Attribution userId="S::nmenzies@hiberniareg.com::b8d20cec-a24e-4087-a628-85d3b84ce4e2" userName="Neil Menzies" userProvider="AD"/>
        <Anchor>
          <Comment id="{6221270C-35C4-49ED-8CB9-A3E3E8C87610}"/>
        </Anchor>
        <Assign userId="S::LPuplett@hiberniareg.com::48829060-02db-4647-94a9-fe4a181b0d25" userName="Louise Puplett" userProvider="AD"/>
      </Event>
      <Event time="2025-05-07T20:23:17.14" id="{28254A03-A8E5-474F-946B-114837B54BBF}">
        <Attribution userId="S::nmenzies@hiberniareg.com::b8d20cec-a24e-4087-a628-85d3b84ce4e2" userName="Neil Menzies" userProvider="AD"/>
        <Anchor>
          <Comment id="{6221270C-35C4-49ED-8CB9-A3E3E8C87610}"/>
        </Anchor>
        <SetTitle title="@Louise Puplett can you please provide employee survey results and place in evidence folder."/>
      </Event>
    </History>
  </Task>
  <Task id="{EA63D56D-FFF8-4D64-86FB-09F4BA119DE3}">
    <Anchor>
      <Comment id="{21C15761-424B-434A-9110-43A25E25E2AC}"/>
    </Anchor>
    <History>
      <Event time="2025-05-07T20:15:48.48" id="{043C58A2-3A13-4FEF-AD6E-2721462864DD}">
        <Attribution userId="S::nmenzies@hiberniareg.com::b8d20cec-a24e-4087-a628-85d3b84ce4e2" userName="Neil Menzies" userProvider="AD"/>
        <Anchor>
          <Comment id="{21C15761-424B-434A-9110-43A25E25E2AC}"/>
        </Anchor>
        <Create/>
      </Event>
      <Event time="2025-05-07T20:15:48.48" id="{15627A4F-225C-41D7-B495-BC8E002F81F8}">
        <Attribution userId="S::nmenzies@hiberniareg.com::b8d20cec-a24e-4087-a628-85d3b84ce4e2" userName="Neil Menzies" userProvider="AD"/>
        <Anchor>
          <Comment id="{21C15761-424B-434A-9110-43A25E25E2AC}"/>
        </Anchor>
        <Assign userId="S::LPuplett@hiberniareg.com::48829060-02db-4647-94a9-fe4a181b0d25" userName="Louise Puplett" userProvider="AD"/>
      </Event>
      <Event time="2025-05-07T20:15:48.48" id="{0B7509D3-8CDF-4192-AABB-1CE8EC910DD4}">
        <Attribution userId="S::nmenzies@hiberniareg.com::b8d20cec-a24e-4087-a628-85d3b84ce4e2" userName="Neil Menzies" userProvider="AD"/>
        <Anchor>
          <Comment id="{21C15761-424B-434A-9110-43A25E25E2AC}"/>
        </Anchor>
        <SetTitle title="@Louise Puplett This KPI should exclude new hires during the reporting year in the nominator and denominator. Can you please amend calculation to account for this."/>
      </Event>
    </History>
  </Task>
  <Task id="{B258D872-7BBE-494E-A6E5-04B2F1E5366E}">
    <Anchor>
      <Comment id="{93902D0E-BA8A-4178-9CD7-B8C9A46F6A29}"/>
    </Anchor>
    <History>
      <Event time="2025-05-07T20:18:20.24" id="{9DFFD60C-8DBA-4E8B-B078-4854BC6BA32A}">
        <Attribution userId="S::nmenzies@hiberniareg.com::b8d20cec-a24e-4087-a628-85d3b84ce4e2" userName="Neil Menzies" userProvider="AD"/>
        <Anchor>
          <Comment id="{93902D0E-BA8A-4178-9CD7-B8C9A46F6A29}"/>
        </Anchor>
        <Create/>
      </Event>
      <Event time="2025-05-07T20:18:20.24" id="{686F4364-03EE-4843-A33F-16939911B08E}">
        <Attribution userId="S::nmenzies@hiberniareg.com::b8d20cec-a24e-4087-a628-85d3b84ce4e2" userName="Neil Menzies" userProvider="AD"/>
        <Anchor>
          <Comment id="{93902D0E-BA8A-4178-9CD7-B8C9A46F6A29}"/>
        </Anchor>
        <Assign userId="S::LPuplett@hiberniareg.com::48829060-02db-4647-94a9-fe4a181b0d25" userName="Louise Puplett" userProvider="AD"/>
      </Event>
      <Event time="2025-05-07T20:18:20.24" id="{44AAC3E0-9915-4017-9D66-486BCCE5A149}">
        <Attribution userId="S::nmenzies@hiberniareg.com::b8d20cec-a24e-4087-a628-85d3b84ce4e2" userName="Neil Menzies" userProvider="AD"/>
        <Anchor>
          <Comment id="{93902D0E-BA8A-4178-9CD7-B8C9A46F6A29}"/>
        </Anchor>
        <SetTitle title="@Louise Puplett Query from JLL, can you please check. It looks as though one of the new employees has been missed out of the total count. Please update if required."/>
      </Event>
    </History>
  </Task>
  <Task id="{CBDAB29F-2B31-426B-BC88-0825CF512CD5}">
    <Anchor>
      <Comment id="{CB1ABC6E-D02F-4121-B589-CC965E39D786}"/>
    </Anchor>
    <History>
      <Event time="2025-05-07T20:12:43.48" id="{BC71C9A5-CC9A-4087-8B35-9D95782FA248}">
        <Attribution userId="S::nmenzies@hiberniareg.com::b8d20cec-a24e-4087-a628-85d3b84ce4e2" userName="Neil Menzies" userProvider="AD"/>
        <Anchor>
          <Comment id="{CB1ABC6E-D02F-4121-B589-CC965E39D786}"/>
        </Anchor>
        <Create/>
      </Event>
      <Event time="2025-05-07T20:12:43.48" id="{1A234164-172B-4F35-95A4-945AC1BD37CF}">
        <Attribution userId="S::nmenzies@hiberniareg.com::b8d20cec-a24e-4087-a628-85d3b84ce4e2" userName="Neil Menzies" userProvider="AD"/>
        <Anchor>
          <Comment id="{CB1ABC6E-D02F-4121-B589-CC965E39D786}"/>
        </Anchor>
        <Assign userId="S::LPuplett@hiberniareg.com::48829060-02db-4647-94a9-fe4a181b0d25" userName="Louise Puplett" userProvider="AD"/>
      </Event>
      <Event time="2025-05-07T20:12:43.48" id="{AEF960B0-BD10-4018-B866-F8BB669EC8DE}">
        <Attribution userId="S::nmenzies@hiberniareg.com::b8d20cec-a24e-4087-a628-85d3b84ce4e2" userName="Neil Menzies" userProvider="AD"/>
        <Anchor>
          <Comment id="{CB1ABC6E-D02F-4121-B589-CC965E39D786}"/>
        </Anchor>
        <SetTitle title=" @Louise Puplett Query from JLL - How do we know if staff are full/part time - has the salary already been normalised?"/>
      </Event>
    </History>
  </Task>
  <Task id="{0FFE02C1-35F0-4A4A-84DC-05FFA23ED0B5}">
    <Anchor>
      <Comment id="{8934E8B4-854C-493A-B4B8-29A9E1EF796B}"/>
    </Anchor>
    <History>
      <Event time="2025-05-07T20:12:18.88" id="{092B5829-13C7-4C8E-B425-181D350457ED}">
        <Attribution userId="S::nmenzies@hiberniareg.com::b8d20cec-a24e-4087-a628-85d3b84ce4e2" userName="Neil Menzies" userProvider="AD"/>
        <Anchor>
          <Comment id="{8934E8B4-854C-493A-B4B8-29A9E1EF796B}"/>
        </Anchor>
        <Create/>
      </Event>
      <Event time="2025-05-07T20:12:18.88" id="{85C726A4-357E-4109-ABD5-110B78A43F66}">
        <Attribution userId="S::nmenzies@hiberniareg.com::b8d20cec-a24e-4087-a628-85d3b84ce4e2" userName="Neil Menzies" userProvider="AD"/>
        <Anchor>
          <Comment id="{8934E8B4-854C-493A-B4B8-29A9E1EF796B}"/>
        </Anchor>
        <Assign userId="S::LPuplett@hiberniareg.com::48829060-02db-4647-94a9-fe4a181b0d25" userName="Louise Puplett" userProvider="AD"/>
      </Event>
      <Event time="2025-05-07T20:12:18.88" id="{10E16FAE-EE78-46AB-8AB0-CB94FC50F0D6}">
        <Attribution userId="S::nmenzies@hiberniareg.com::b8d20cec-a24e-4087-a628-85d3b84ce4e2" userName="Neil Menzies" userProvider="AD"/>
        <Anchor>
          <Comment id="{8934E8B4-854C-493A-B4B8-29A9E1EF796B}"/>
        </Anchor>
        <SetTitle title="@Louise Puplett Query from JLL - How do we know if staff are full/part time - has the salary already been normalised?"/>
      </Event>
    </History>
  </Task>
  <Task id="{E615FECD-E1E1-4140-B8D0-A8C80823929F}">
    <Anchor>
      <Comment id="{A24D6B9B-A2E0-4C53-8046-E35B1943CC18}"/>
    </Anchor>
    <History>
      <Event time="2025-05-07T20:20:54.70" id="{0E979403-C683-4800-9E22-36525F511764}">
        <Attribution userId="S::nmenzies@hiberniareg.com::b8d20cec-a24e-4087-a628-85d3b84ce4e2" userName="Neil Menzies" userProvider="AD"/>
        <Anchor>
          <Comment id="{A24D6B9B-A2E0-4C53-8046-E35B1943CC18}"/>
        </Anchor>
        <Create/>
      </Event>
      <Event time="2025-05-07T20:20:54.70" id="{DC65B937-0B01-4D8C-A772-A62ECBFFEC7D}">
        <Attribution userId="S::nmenzies@hiberniareg.com::b8d20cec-a24e-4087-a628-85d3b84ce4e2" userName="Neil Menzies" userProvider="AD"/>
        <Anchor>
          <Comment id="{A24D6B9B-A2E0-4C53-8046-E35B1943CC18}"/>
        </Anchor>
        <Assign userId="S::LPuplett@hiberniareg.com::48829060-02db-4647-94a9-fe4a181b0d25" userName="Louise Puplett" userProvider="AD"/>
      </Event>
      <Event time="2025-05-07T20:20:54.70" id="{02A877B1-936D-48D3-8B52-32D09BE06849}">
        <Attribution userId="S::nmenzies@hiberniareg.com::b8d20cec-a24e-4087-a628-85d3b84ce4e2" userName="Neil Menzies" userProvider="AD"/>
        <Anchor>
          <Comment id="{A24D6B9B-A2E0-4C53-8046-E35B1943CC18}"/>
        </Anchor>
        <SetTitle title=" @Louise Puplett Please can you provide a screenshot of the system where this is reported and place in Evidence folder - see email sent separately for link."/>
      </Event>
    </History>
  </Task>
  <Task id="{BB0323D3-7A71-4250-9E58-C203DCBA4577}">
    <Anchor>
      <Comment id="{5EE3EBCB-CADE-449C-93BD-6C290AE48119}"/>
    </Anchor>
    <History>
      <Event time="2025-05-07T20:19:54.36" id="{7F9FFBE4-43DA-469C-A52A-E4078543930F}">
        <Attribution userId="S::nmenzies@hiberniareg.com::b8d20cec-a24e-4087-a628-85d3b84ce4e2" userName="Neil Menzies" userProvider="AD"/>
        <Anchor>
          <Comment id="{5EE3EBCB-CADE-449C-93BD-6C290AE48119}"/>
        </Anchor>
        <Create/>
      </Event>
      <Event time="2025-05-07T20:19:54.36" id="{E9C2115B-4F1B-4096-A20E-F91489A1C90B}">
        <Attribution userId="S::nmenzies@hiberniareg.com::b8d20cec-a24e-4087-a628-85d3b84ce4e2" userName="Neil Menzies" userProvider="AD"/>
        <Anchor>
          <Comment id="{5EE3EBCB-CADE-449C-93BD-6C290AE48119}"/>
        </Anchor>
        <Assign userId="S::LPuplett@hiberniareg.com::48829060-02db-4647-94a9-fe4a181b0d25" userName="Louise Puplett" userProvider="AD"/>
      </Event>
      <Event time="2025-05-07T20:19:54.36" id="{97222FFA-41AB-4B56-B3B1-5E02EEA59300}">
        <Attribution userId="S::nmenzies@hiberniareg.com::b8d20cec-a24e-4087-a628-85d3b84ce4e2" userName="Neil Menzies" userProvider="AD"/>
        <Anchor>
          <Comment id="{5EE3EBCB-CADE-449C-93BD-6C290AE48119}"/>
        </Anchor>
        <SetTitle title="@Louise Puplett Query from JLL. Can you please check? It looks as though one of the new employees has been missed out of the total count. Please update if required."/>
      </Event>
    </History>
  </Task>
  <Task id="{5FB7E8F2-5215-443D-A4F5-22C1BC982085}">
    <Anchor>
      <Comment id="{2B35F00F-D441-48AD-825B-976C3520E52F}"/>
    </Anchor>
    <History>
      <Event time="2025-05-07T20:35:32.27" id="{E20DF0F2-094A-4B63-A993-59BE2C438265}">
        <Attribution userId="S::nmenzies@hiberniareg.com::b8d20cec-a24e-4087-a628-85d3b84ce4e2" userName="Neil Menzies" userProvider="AD"/>
        <Anchor>
          <Comment id="{2B35F00F-D441-48AD-825B-976C3520E52F}"/>
        </Anchor>
        <Create/>
      </Event>
      <Event time="2025-05-07T20:35:32.27" id="{1CB8745C-D904-4B0A-9FEF-0A474997B5C2}">
        <Attribution userId="S::nmenzies@hiberniareg.com::b8d20cec-a24e-4087-a628-85d3b84ce4e2" userName="Neil Menzies" userProvider="AD"/>
        <Anchor>
          <Comment id="{2B35F00F-D441-48AD-825B-976C3520E52F}"/>
        </Anchor>
        <Assign userId="S::LPuplett@hiberniareg.com::48829060-02db-4647-94a9-fe4a181b0d25" userName="Louise Puplett" userProvider="AD"/>
      </Event>
      <Event time="2025-05-07T20:35:32.27" id="{9B10ED0C-27F5-41A5-9EED-CEEDB441B159}">
        <Attribution userId="S::nmenzies@hiberniareg.com::b8d20cec-a24e-4087-a628-85d3b84ce4e2" userName="Neil Menzies" userProvider="AD"/>
        <Anchor>
          <Comment id="{2B35F00F-D441-48AD-825B-976C3520E52F}"/>
        </Anchor>
        <SetTitle title="@Louise Puplett Please provide an export from the system with hours of training per topic."/>
      </Event>
    </History>
  </Task>
</Tasks>
</file>

<file path=xl/documenttasks/documenttask2.xml><?xml version="1.0" encoding="utf-8"?>
<Tasks xmlns="http://schemas.microsoft.com/office/tasks/2019/documenttasks">
  <Task id="{FB6E3C7A-961E-437C-9707-DF8F8F82E516}">
    <Anchor>
      <Comment id="{FD7AF807-8CBC-4F0F-A66C-A39CA6E23578}"/>
    </Anchor>
    <History>
      <Event time="2025-06-25T11:13:12.02" id="{CC05BB48-4E12-44BF-8DE0-CBA2CFBE879F}">
        <Attribution userId="S::nmenzies@hiberniareg.com::b8d20cec-a24e-4087-a628-85d3b84ce4e2" userName="Neil Menzies" userProvider="AD"/>
        <Anchor>
          <Comment id="{FD7AF807-8CBC-4F0F-A66C-A39CA6E23578}"/>
        </Anchor>
        <Create/>
      </Event>
      <Event time="2025-06-25T11:13:12.02" id="{66B5D863-E7FD-4431-B40F-FFC2D765996C}">
        <Attribution userId="S::nmenzies@hiberniareg.com::b8d20cec-a24e-4087-a628-85d3b84ce4e2" userName="Neil Menzies" userProvider="AD"/>
        <Anchor>
          <Comment id="{FD7AF807-8CBC-4F0F-A66C-A39CA6E23578}"/>
        </Anchor>
        <Assign userId="S::LPuplett@hiberniareg.com::48829060-02db-4647-94a9-fe4a181b0d25" userName="Louise Puplett" userProvider="AD"/>
      </Event>
      <Event time="2025-06-25T11:13:12.02" id="{A3D93303-CBDD-422E-906F-8F5BAEDB01A9}">
        <Attribution userId="S::nmenzies@hiberniareg.com::b8d20cec-a24e-4087-a628-85d3b84ce4e2" userName="Neil Menzies" userProvider="AD"/>
        <Anchor>
          <Comment id="{FD7AF807-8CBC-4F0F-A66C-A39CA6E23578}"/>
        </Anchor>
        <SetTitle title="@Louise Puplett"/>
      </Event>
    </History>
  </Task>
</Task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85725</xdr:colOff>
      <xdr:row>12</xdr:row>
      <xdr:rowOff>85725</xdr:rowOff>
    </xdr:from>
    <xdr:to>
      <xdr:col>14</xdr:col>
      <xdr:colOff>257175</xdr:colOff>
      <xdr:row>33</xdr:row>
      <xdr:rowOff>114300</xdr:rowOff>
    </xdr:to>
    <xdr:sp macro="" textlink="">
      <xdr:nvSpPr>
        <xdr:cNvPr id="2" name="Rectangle 1">
          <a:extLst>
            <a:ext uri="{FF2B5EF4-FFF2-40B4-BE49-F238E27FC236}">
              <a16:creationId xmlns:a16="http://schemas.microsoft.com/office/drawing/2014/main" id="{D8B1F5D2-DE0C-AF51-B2C7-504F850EB0AF}"/>
            </a:ext>
          </a:extLst>
        </xdr:cNvPr>
        <xdr:cNvSpPr/>
      </xdr:nvSpPr>
      <xdr:spPr>
        <a:xfrm>
          <a:off x="4619625" y="2257425"/>
          <a:ext cx="4705350" cy="38290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E" sz="1100"/>
            <a:t>Assurance KPIs</a:t>
          </a:r>
        </a:p>
        <a:p>
          <a:pPr algn="l"/>
          <a:r>
            <a:rPr lang="en-IE" sz="1100"/>
            <a:t>"E"</a:t>
          </a:r>
        </a:p>
        <a:p>
          <a:pPr algn="l"/>
          <a:r>
            <a:rPr lang="en-IE" sz="1100"/>
            <a:t>- Electricity</a:t>
          </a:r>
          <a:r>
            <a:rPr lang="en-IE" sz="1100" baseline="0"/>
            <a:t> - all assets (actual and estimated)</a:t>
          </a:r>
        </a:p>
        <a:p>
          <a:pPr algn="l"/>
          <a:r>
            <a:rPr lang="en-IE" sz="1100" baseline="0"/>
            <a:t>- Fuel - all assets (actual and estimated)</a:t>
          </a:r>
        </a:p>
        <a:p>
          <a:pPr algn="l"/>
          <a:r>
            <a:rPr lang="en-IE" sz="1100" baseline="0"/>
            <a:t>- Scope 1 - all assets</a:t>
          </a:r>
        </a:p>
        <a:p>
          <a:pPr algn="l"/>
          <a:r>
            <a:rPr lang="en-IE" sz="1100" baseline="0"/>
            <a:t>- Scope 2 - all assets</a:t>
          </a:r>
        </a:p>
        <a:p>
          <a:pPr algn="l"/>
          <a:r>
            <a:rPr lang="en-IE" sz="1100" baseline="0"/>
            <a:t>- Scope 3 - relevant categories</a:t>
          </a:r>
        </a:p>
        <a:p>
          <a:pPr algn="l"/>
          <a:r>
            <a:rPr lang="en-IE" sz="1100" baseline="0"/>
            <a:t>- Water - all assets (actual and estimated)</a:t>
          </a:r>
        </a:p>
        <a:p>
          <a:pPr algn="l"/>
          <a:r>
            <a:rPr lang="en-IE" sz="1100" baseline="0"/>
            <a:t>- Total waste - all assets (actual and estimated)</a:t>
          </a:r>
        </a:p>
        <a:p>
          <a:pPr algn="l"/>
          <a:r>
            <a:rPr lang="en-IE" sz="1100" baseline="0"/>
            <a:t>- Waste recycled - all assets (actual and estimate)</a:t>
          </a:r>
        </a:p>
        <a:p>
          <a:pPr algn="l"/>
          <a:r>
            <a:rPr lang="en-IE" sz="1100" baseline="0"/>
            <a:t>- LEED certified assets (split by BD+C and O+M)</a:t>
          </a:r>
        </a:p>
        <a:p>
          <a:pPr algn="l"/>
          <a:r>
            <a:rPr lang="en-IE" sz="1100" baseline="0"/>
            <a:t>- WELL HSR certified assets</a:t>
          </a:r>
        </a:p>
        <a:p>
          <a:pPr algn="l"/>
          <a:r>
            <a:rPr lang="en-IE" sz="1100" baseline="0"/>
            <a:t>- BER certified assets </a:t>
          </a:r>
        </a:p>
        <a:p>
          <a:pPr algn="l"/>
          <a:endParaRPr lang="en-IE" sz="1100"/>
        </a:p>
        <a:p>
          <a:pPr algn="l"/>
          <a:endParaRPr lang="en-IE" sz="1100"/>
        </a:p>
      </xdr:txBody>
    </xdr:sp>
    <xdr:clientData/>
  </xdr:twoCellAnchor>
  <xdr:twoCellAnchor>
    <xdr:from>
      <xdr:col>15</xdr:col>
      <xdr:colOff>0</xdr:colOff>
      <xdr:row>12</xdr:row>
      <xdr:rowOff>85725</xdr:rowOff>
    </xdr:from>
    <xdr:to>
      <xdr:col>22</xdr:col>
      <xdr:colOff>171450</xdr:colOff>
      <xdr:row>37</xdr:row>
      <xdr:rowOff>76200</xdr:rowOff>
    </xdr:to>
    <xdr:sp macro="" textlink="">
      <xdr:nvSpPr>
        <xdr:cNvPr id="3" name="Rectangle 2">
          <a:extLst>
            <a:ext uri="{FF2B5EF4-FFF2-40B4-BE49-F238E27FC236}">
              <a16:creationId xmlns:a16="http://schemas.microsoft.com/office/drawing/2014/main" id="{A46D4D0D-C79B-46DB-8FD5-C033D1FE1AA1}"/>
            </a:ext>
          </a:extLst>
        </xdr:cNvPr>
        <xdr:cNvSpPr/>
      </xdr:nvSpPr>
      <xdr:spPr>
        <a:xfrm>
          <a:off x="9715500" y="2257425"/>
          <a:ext cx="4705350" cy="45148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E" sz="1100"/>
            <a:t>Assurance KPIs</a:t>
          </a:r>
        </a:p>
        <a:p>
          <a:pPr algn="l"/>
          <a:r>
            <a:rPr lang="en-IE" sz="1100"/>
            <a:t>"S&amp;G"</a:t>
          </a:r>
        </a:p>
        <a:p>
          <a:pPr algn="l"/>
          <a:r>
            <a:rPr lang="en-IE" sz="1100"/>
            <a:t>- Employee breakdown (gender)</a:t>
          </a:r>
        </a:p>
        <a:p>
          <a:pPr algn="l"/>
          <a:r>
            <a:rPr lang="en-IE" sz="1100"/>
            <a:t>- Employees (new starters)</a:t>
          </a:r>
        </a:p>
        <a:p>
          <a:pPr algn="l"/>
          <a:r>
            <a:rPr lang="en-IE" sz="1100"/>
            <a:t>- Employees (leavers)</a:t>
          </a:r>
        </a:p>
        <a:p>
          <a:pPr algn="l"/>
          <a:r>
            <a:rPr lang="en-IE" sz="1100" baseline="0"/>
            <a:t>- Employee breakdown (pay)</a:t>
          </a:r>
        </a:p>
        <a:p>
          <a:pPr algn="l"/>
          <a:r>
            <a:rPr lang="en-IE" sz="1100" baseline="0"/>
            <a:t>- Employee breakdown (age)</a:t>
          </a:r>
        </a:p>
        <a:p>
          <a:pPr algn="l"/>
          <a:r>
            <a:rPr lang="en-IE" sz="1100" baseline="0"/>
            <a:t>- Employee training (total)</a:t>
          </a:r>
        </a:p>
        <a:p>
          <a:pPr algn="l"/>
          <a:r>
            <a:rPr lang="en-IE" sz="1100" baseline="0"/>
            <a:t>- Employee taining ABC</a:t>
          </a:r>
        </a:p>
        <a:p>
          <a:pPr algn="l"/>
          <a:r>
            <a:rPr lang="en-IE" sz="1100" baseline="0"/>
            <a:t>- Employee training H&amp;S</a:t>
          </a:r>
        </a:p>
        <a:p>
          <a:pPr algn="l"/>
          <a:r>
            <a:rPr lang="en-IE" sz="1100" baseline="0"/>
            <a:t>- Employee performance </a:t>
          </a:r>
        </a:p>
        <a:p>
          <a:pPr algn="l"/>
          <a:r>
            <a:rPr lang="en-IE" sz="1100" baseline="0"/>
            <a:t>- Employee absence</a:t>
          </a:r>
        </a:p>
        <a:p>
          <a:pPr algn="l"/>
          <a:r>
            <a:rPr lang="en-IE" sz="1100" baseline="0"/>
            <a:t>- Health and safety assessments </a:t>
          </a:r>
        </a:p>
        <a:p>
          <a:pPr algn="l"/>
          <a:r>
            <a:rPr lang="en-IE" sz="1100" baseline="0"/>
            <a:t>- Number of H&amp;S incidents/fatalities/</a:t>
          </a:r>
        </a:p>
        <a:p>
          <a:pPr algn="l"/>
          <a:r>
            <a:rPr lang="en-IE" sz="1100"/>
            <a:t>- Number workplacements</a:t>
          </a:r>
        </a:p>
        <a:p>
          <a:pPr algn="l"/>
          <a:r>
            <a:rPr lang="en-IE" sz="1100"/>
            <a:t>- Number Health and wellbeing events for employees</a:t>
          </a:r>
        </a:p>
        <a:p>
          <a:pPr algn="l"/>
          <a:r>
            <a:rPr lang="en-IE" sz="1100"/>
            <a:t>- Number of Health and wellbeing events for</a:t>
          </a:r>
          <a:r>
            <a:rPr lang="en-IE" sz="1100" baseline="0"/>
            <a:t> employees in assets</a:t>
          </a:r>
        </a:p>
        <a:p>
          <a:pPr algn="l"/>
          <a:r>
            <a:rPr lang="en-IE" sz="1100" baseline="0"/>
            <a:t>- Number of assets engaging with community</a:t>
          </a:r>
        </a:p>
        <a:p>
          <a:pPr algn="l"/>
          <a:r>
            <a:rPr lang="en-IE" sz="1100" baseline="0"/>
            <a:t>- Number of community events held</a:t>
          </a:r>
        </a:p>
        <a:p>
          <a:pPr algn="l"/>
          <a:r>
            <a:rPr lang="en-IE" sz="1100" baseline="0"/>
            <a:t>- Employee satisfaction</a:t>
          </a:r>
        </a:p>
        <a:p>
          <a:pPr algn="l"/>
          <a:r>
            <a:rPr lang="en-IE" sz="1100" baseline="0"/>
            <a:t>- Occupier satisfaction</a:t>
          </a:r>
        </a:p>
        <a:p>
          <a:pPr algn="l"/>
          <a:r>
            <a:rPr lang="en-IE" sz="1100" baseline="0"/>
            <a:t>- Number of ABC incidents</a:t>
          </a:r>
        </a:p>
        <a:p>
          <a:pPr algn="l"/>
          <a:r>
            <a:rPr lang="en-IE" sz="1100" baseline="0"/>
            <a:t>- Number of sanctions</a:t>
          </a:r>
        </a:p>
        <a:p>
          <a:pPr algn="l"/>
          <a:r>
            <a:rPr lang="en-IE" sz="1100" baseline="0"/>
            <a:t>- Number of fines/litigation</a:t>
          </a:r>
        </a:p>
        <a:p>
          <a:pPr algn="l"/>
          <a:endParaRPr lang="en-IE" sz="1100" baseline="0"/>
        </a:p>
        <a:p>
          <a:pPr algn="l"/>
          <a:endParaRPr lang="en-IE" sz="1100"/>
        </a:p>
        <a:p>
          <a:pPr algn="l"/>
          <a:endParaRPr lang="en-IE"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5</xdr:col>
      <xdr:colOff>0</xdr:colOff>
      <xdr:row>0</xdr:row>
      <xdr:rowOff>90487</xdr:rowOff>
    </xdr:from>
    <xdr:ext cx="2462212" cy="971550"/>
    <xdr:pic>
      <xdr:nvPicPr>
        <xdr:cNvPr id="2" name="Picture 4">
          <a:extLst>
            <a:ext uri="{FF2B5EF4-FFF2-40B4-BE49-F238E27FC236}">
              <a16:creationId xmlns:a16="http://schemas.microsoft.com/office/drawing/2014/main" id="{D155E1AC-643A-4793-A1F6-E8DAAA7638FA}"/>
            </a:ext>
          </a:extLst>
        </xdr:cNvPr>
        <xdr:cNvPicPr>
          <a:picLocks noChangeAspect="1"/>
        </xdr:cNvPicPr>
      </xdr:nvPicPr>
      <xdr:blipFill>
        <a:blip xmlns:r="http://schemas.openxmlformats.org/officeDocument/2006/relationships" r:embed="rId1"/>
        <a:stretch>
          <a:fillRect/>
        </a:stretch>
      </xdr:blipFill>
      <xdr:spPr>
        <a:xfrm>
          <a:off x="11401425" y="90487"/>
          <a:ext cx="2462212" cy="9715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711200</xdr:colOff>
      <xdr:row>0</xdr:row>
      <xdr:rowOff>558800</xdr:rowOff>
    </xdr:to>
    <xdr:pic>
      <xdr:nvPicPr>
        <xdr:cNvPr id="2" name="Picture 1">
          <a:extLst>
            <a:ext uri="{FF2B5EF4-FFF2-40B4-BE49-F238E27FC236}">
              <a16:creationId xmlns:a16="http://schemas.microsoft.com/office/drawing/2014/main" id="{15F99357-0E5E-42B0-B5AD-E27C11039EAD}"/>
            </a:ext>
          </a:extLst>
        </xdr:cNvPr>
        <xdr:cNvPicPr/>
      </xdr:nvPicPr>
      <xdr:blipFill>
        <a:blip xmlns:r="http://schemas.openxmlformats.org/officeDocument/2006/relationships" r:embed="rId1" cstate="print"/>
        <a:stretch>
          <a:fillRect/>
        </a:stretch>
      </xdr:blipFill>
      <xdr:spPr>
        <a:xfrm>
          <a:off x="0" y="0"/>
          <a:ext cx="1906587" cy="56356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685800</xdr:colOff>
      <xdr:row>22</xdr:row>
      <xdr:rowOff>0</xdr:rowOff>
    </xdr:from>
    <xdr:to>
      <xdr:col>17</xdr:col>
      <xdr:colOff>104775</xdr:colOff>
      <xdr:row>47</xdr:row>
      <xdr:rowOff>0</xdr:rowOff>
    </xdr:to>
    <xdr:graphicFrame macro="">
      <xdr:nvGraphicFramePr>
        <xdr:cNvPr id="2" name="EUIvsTarget">
          <a:extLst>
            <a:ext uri="{FF2B5EF4-FFF2-40B4-BE49-F238E27FC236}">
              <a16:creationId xmlns:a16="http://schemas.microsoft.com/office/drawing/2014/main" id="{BD760CCC-0182-2D34-254A-2A28200826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528637</xdr:colOff>
      <xdr:row>22</xdr:row>
      <xdr:rowOff>23813</xdr:rowOff>
    </xdr:from>
    <xdr:to>
      <xdr:col>10</xdr:col>
      <xdr:colOff>566737</xdr:colOff>
      <xdr:row>46</xdr:row>
      <xdr:rowOff>4763</xdr:rowOff>
    </xdr:to>
    <xdr:graphicFrame macro="">
      <xdr:nvGraphicFramePr>
        <xdr:cNvPr id="2" name="Chart 2">
          <a:extLst>
            <a:ext uri="{FF2B5EF4-FFF2-40B4-BE49-F238E27FC236}">
              <a16:creationId xmlns:a16="http://schemas.microsoft.com/office/drawing/2014/main" id="{FFB075B7-F943-4842-AE15-B47EBE3B5872}"/>
            </a:ext>
            <a:ext uri="{147F2762-F138-4A5C-976F-8EAC2B608ADB}">
              <a16:predDERef xmlns:a16="http://schemas.microsoft.com/office/drawing/2014/main" pred="{6E835CA5-8978-322D-4A83-4D54B634A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2</xdr:col>
      <xdr:colOff>3019425</xdr:colOff>
      <xdr:row>0</xdr:row>
      <xdr:rowOff>0</xdr:rowOff>
    </xdr:from>
    <xdr:ext cx="2600325" cy="971550"/>
    <xdr:pic>
      <xdr:nvPicPr>
        <xdr:cNvPr id="2" name="Picture 1">
          <a:extLst>
            <a:ext uri="{FF2B5EF4-FFF2-40B4-BE49-F238E27FC236}">
              <a16:creationId xmlns:a16="http://schemas.microsoft.com/office/drawing/2014/main" id="{CC5F5326-2012-4B73-A8B3-228B83B439A6}"/>
            </a:ext>
          </a:extLst>
        </xdr:cNvPr>
        <xdr:cNvPicPr>
          <a:picLocks noChangeAspect="1"/>
        </xdr:cNvPicPr>
      </xdr:nvPicPr>
      <xdr:blipFill>
        <a:blip xmlns:r="http://schemas.openxmlformats.org/officeDocument/2006/relationships" r:embed="rId1"/>
        <a:stretch>
          <a:fillRect/>
        </a:stretch>
      </xdr:blipFill>
      <xdr:spPr>
        <a:xfrm>
          <a:off x="3438525" y="0"/>
          <a:ext cx="2600325" cy="9715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18</xdr:col>
      <xdr:colOff>251851</xdr:colOff>
      <xdr:row>1</xdr:row>
      <xdr:rowOff>28575</xdr:rowOff>
    </xdr:from>
    <xdr:ext cx="2776538" cy="971550"/>
    <xdr:pic>
      <xdr:nvPicPr>
        <xdr:cNvPr id="2" name="Picture 1">
          <a:extLst>
            <a:ext uri="{FF2B5EF4-FFF2-40B4-BE49-F238E27FC236}">
              <a16:creationId xmlns:a16="http://schemas.microsoft.com/office/drawing/2014/main" id="{61D3327F-6ACF-4457-93A9-EFA5BAA9F4BF}"/>
            </a:ext>
          </a:extLst>
        </xdr:cNvPr>
        <xdr:cNvPicPr>
          <a:picLocks noChangeAspect="1"/>
        </xdr:cNvPicPr>
      </xdr:nvPicPr>
      <xdr:blipFill>
        <a:blip xmlns:r="http://schemas.openxmlformats.org/officeDocument/2006/relationships" r:embed="rId1"/>
        <a:stretch>
          <a:fillRect/>
        </a:stretch>
      </xdr:blipFill>
      <xdr:spPr>
        <a:xfrm>
          <a:off x="14891776" y="209550"/>
          <a:ext cx="2776538" cy="9715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10385821</xdr:colOff>
      <xdr:row>0</xdr:row>
      <xdr:rowOff>38101</xdr:rowOff>
    </xdr:from>
    <xdr:ext cx="2776538" cy="971550"/>
    <xdr:pic>
      <xdr:nvPicPr>
        <xdr:cNvPr id="2" name="Picture 1">
          <a:extLst>
            <a:ext uri="{FF2B5EF4-FFF2-40B4-BE49-F238E27FC236}">
              <a16:creationId xmlns:a16="http://schemas.microsoft.com/office/drawing/2014/main" id="{02E3BB2B-20EA-459B-BD19-B142AA9845BB}"/>
            </a:ext>
          </a:extLst>
        </xdr:cNvPr>
        <xdr:cNvPicPr>
          <a:picLocks noChangeAspect="1"/>
        </xdr:cNvPicPr>
      </xdr:nvPicPr>
      <xdr:blipFill>
        <a:blip xmlns:r="http://schemas.openxmlformats.org/officeDocument/2006/relationships" r:embed="rId1"/>
        <a:stretch>
          <a:fillRect/>
        </a:stretch>
      </xdr:blipFill>
      <xdr:spPr>
        <a:xfrm>
          <a:off x="13052821" y="38101"/>
          <a:ext cx="2776538" cy="9715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0</xdr:row>
      <xdr:rowOff>90487</xdr:rowOff>
    </xdr:from>
    <xdr:ext cx="2462213" cy="971550"/>
    <xdr:pic>
      <xdr:nvPicPr>
        <xdr:cNvPr id="2" name="Picture 1">
          <a:extLst>
            <a:ext uri="{FF2B5EF4-FFF2-40B4-BE49-F238E27FC236}">
              <a16:creationId xmlns:a16="http://schemas.microsoft.com/office/drawing/2014/main" id="{D8850E68-C674-473B-85FF-E732F0E2EA59}"/>
            </a:ext>
          </a:extLst>
        </xdr:cNvPr>
        <xdr:cNvPicPr>
          <a:picLocks noChangeAspect="1"/>
        </xdr:cNvPicPr>
      </xdr:nvPicPr>
      <xdr:blipFill>
        <a:blip xmlns:r="http://schemas.openxmlformats.org/officeDocument/2006/relationships" r:embed="rId1"/>
        <a:stretch>
          <a:fillRect/>
        </a:stretch>
      </xdr:blipFill>
      <xdr:spPr>
        <a:xfrm>
          <a:off x="6229350" y="90487"/>
          <a:ext cx="2462213" cy="9715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0</xdr:row>
      <xdr:rowOff>61913</xdr:rowOff>
    </xdr:from>
    <xdr:ext cx="2462213" cy="971550"/>
    <xdr:pic>
      <xdr:nvPicPr>
        <xdr:cNvPr id="2" name="Picture 1">
          <a:extLst>
            <a:ext uri="{FF2B5EF4-FFF2-40B4-BE49-F238E27FC236}">
              <a16:creationId xmlns:a16="http://schemas.microsoft.com/office/drawing/2014/main" id="{57F05272-2451-419A-B214-1DC7BFB88103}"/>
            </a:ext>
          </a:extLst>
        </xdr:cNvPr>
        <xdr:cNvPicPr>
          <a:picLocks noChangeAspect="1"/>
        </xdr:cNvPicPr>
      </xdr:nvPicPr>
      <xdr:blipFill>
        <a:blip xmlns:r="http://schemas.openxmlformats.org/officeDocument/2006/relationships" r:embed="rId1"/>
        <a:stretch>
          <a:fillRect/>
        </a:stretch>
      </xdr:blipFill>
      <xdr:spPr>
        <a:xfrm>
          <a:off x="5593293" y="61913"/>
          <a:ext cx="2462213" cy="9715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7</xdr:col>
      <xdr:colOff>496282</xdr:colOff>
      <xdr:row>0</xdr:row>
      <xdr:rowOff>132365</xdr:rowOff>
    </xdr:from>
    <xdr:ext cx="2443163" cy="971550"/>
    <xdr:pic>
      <xdr:nvPicPr>
        <xdr:cNvPr id="2" name="Picture 1">
          <a:extLst>
            <a:ext uri="{FF2B5EF4-FFF2-40B4-BE49-F238E27FC236}">
              <a16:creationId xmlns:a16="http://schemas.microsoft.com/office/drawing/2014/main" id="{118AE9B7-F38C-41D1-A98B-47C021F11C2C}"/>
            </a:ext>
          </a:extLst>
        </xdr:cNvPr>
        <xdr:cNvPicPr>
          <a:picLocks noChangeAspect="1"/>
        </xdr:cNvPicPr>
      </xdr:nvPicPr>
      <xdr:blipFill>
        <a:blip xmlns:r="http://schemas.openxmlformats.org/officeDocument/2006/relationships" r:embed="rId1"/>
        <a:stretch>
          <a:fillRect/>
        </a:stretch>
      </xdr:blipFill>
      <xdr:spPr>
        <a:xfrm>
          <a:off x="12116782" y="132365"/>
          <a:ext cx="2443163" cy="9715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11</xdr:col>
      <xdr:colOff>595484</xdr:colOff>
      <xdr:row>0</xdr:row>
      <xdr:rowOff>51527</xdr:rowOff>
    </xdr:from>
    <xdr:ext cx="2295525" cy="971550"/>
    <xdr:pic>
      <xdr:nvPicPr>
        <xdr:cNvPr id="2" name="Picture 1">
          <a:extLst>
            <a:ext uri="{FF2B5EF4-FFF2-40B4-BE49-F238E27FC236}">
              <a16:creationId xmlns:a16="http://schemas.microsoft.com/office/drawing/2014/main" id="{DD4448F7-D25C-497E-99CE-6D7DD150754B}"/>
            </a:ext>
          </a:extLst>
        </xdr:cNvPr>
        <xdr:cNvPicPr>
          <a:picLocks noChangeAspect="1"/>
        </xdr:cNvPicPr>
      </xdr:nvPicPr>
      <xdr:blipFill>
        <a:blip xmlns:r="http://schemas.openxmlformats.org/officeDocument/2006/relationships" r:embed="rId1"/>
        <a:stretch>
          <a:fillRect/>
        </a:stretch>
      </xdr:blipFill>
      <xdr:spPr>
        <a:xfrm>
          <a:off x="9559462" y="50575"/>
          <a:ext cx="2295525" cy="9715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2671943</xdr:colOff>
      <xdr:row>0</xdr:row>
      <xdr:rowOff>78430</xdr:rowOff>
    </xdr:from>
    <xdr:ext cx="2552700" cy="971550"/>
    <xdr:pic>
      <xdr:nvPicPr>
        <xdr:cNvPr id="2" name="Picture 1">
          <a:extLst>
            <a:ext uri="{FF2B5EF4-FFF2-40B4-BE49-F238E27FC236}">
              <a16:creationId xmlns:a16="http://schemas.microsoft.com/office/drawing/2014/main" id="{1AB3AC4C-ECA6-4EAD-AAEB-41479428097C}"/>
            </a:ext>
          </a:extLst>
        </xdr:cNvPr>
        <xdr:cNvPicPr>
          <a:picLocks noChangeAspect="1"/>
        </xdr:cNvPicPr>
      </xdr:nvPicPr>
      <xdr:blipFill>
        <a:blip xmlns:r="http://schemas.openxmlformats.org/officeDocument/2006/relationships" r:embed="rId1"/>
        <a:stretch>
          <a:fillRect/>
        </a:stretch>
      </xdr:blipFill>
      <xdr:spPr>
        <a:xfrm>
          <a:off x="13185614" y="78430"/>
          <a:ext cx="2552700" cy="9715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ll2.sharepoint.com/Dropbox%20(Carbon%20Credentials)/3.%20Clients%20(New)/DP%20World/Delivery/Science-Based%20Targets/3.%20CCES%20Data%20Analysis/DP%20World%20Science-Based%20Targets%20Workbook.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hiberniareit-my.sharepoint.com/fina/Reporting/Annual%20Report%202018/Sustainability/2017%20EPRA%20Summary%20v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jll2.sharepoint.com/fina/Reporting/Annual%20Report%202018/Sustainability/2017%20EPRA%20Summary%20v7.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na/Reporting/Annual%20Report%202018/Sustainability/2017%20EPRA%20Summary%20v7.xlsx" TargetMode="External"/><Relationship Id="rId1" Type="http://schemas.openxmlformats.org/officeDocument/2006/relationships/externalLinkPath" Target="/fina/Reporting/Annual%20Report%202018/Sustainability/2017%20EPRA%20Summary%20v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jllnet.com\ukshare$\UKRoot\Upstream\ClientsOrganisations\JLL_Global\2019_SBT\Scope%201%20and%202\Reducing%20Fleet%20Emissions\Modelling%20emissions_v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jllnet.com\ukshare$\ClientsOrganisations\JLL_Global\2019_SBT\Scope%201%20and%202\_FinalScope1+2Model\191126_Version\Fleet%20Emissions%20Model_AllScenariosSummary%20(1.8).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hiberniareit-my.sharepoint.com/Users/hnesb/Documents/REIT/Copy%20of%20(V%20II)%20Draft%20Management%20Accounts%20(Consolidated)%20QE%20Mar%20'17%20-%20sent%20to%20Deloitte%20messe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jll2.sharepoint.com/Users/hnesb/Documents/REIT/Copy%20of%20(V%20II)%20Draft%20Management%20Accounts%20(Consolidated)%20QE%20Mar%20'17%20-%20sent%20to%20Deloitte%20messes.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sers/hnesb/Documents/REIT/Copy%20of%20(V%20II)%20Draft%20Management%20Accounts%20(Consolidated)%20QE%20Mar%20'17%20-%20sent%20to%20Deloitte%20messes.xlsx" TargetMode="External"/><Relationship Id="rId1" Type="http://schemas.openxmlformats.org/officeDocument/2006/relationships/externalLinkPath" Target="/Users/hnesb/Documents/REIT/Copy%20of%20(V%20II)%20Draft%20Management%20Accounts%20(Consolidated)%20QE%20Mar%20'17%20-%20sent%20to%20Deloitte%20messe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hiberniareit-my.sharepoint.com/Users/heather/Documents/Copy%20of%20Annual%20Report%20Tables%202016%20V2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jll2.sharepoint.com/Users/heather/Documents/Copy%20of%20Annual%20Report%20Tables%202016%20V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ll2.sharepoint.com/ClientsOrganisations/JLL_Global/2019_SBT/Scope%201%20and%202/_FinalScope1+2Model/200211_Version/Fleet%20Emissions%20Model_AllScenariosSummary%20(1.6b).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Users/heather/Documents/Copy%20of%20Annual%20Report%20Tables%202016%20V21.xlsm" TargetMode="External"/><Relationship Id="rId1" Type="http://schemas.openxmlformats.org/officeDocument/2006/relationships/externalLinkPath" Target="/Users/heather/Documents/Copy%20of%20Annual%20Report%20Tables%202016%20V21.xlsm" TargetMode="External"/></Relationships>
</file>

<file path=xl/externalLinks/_rels/externalLink21.xml.rels><?xml version="1.0" encoding="UTF-8" standalone="yes"?>
<Relationships xmlns="http://schemas.openxmlformats.org/package/2006/relationships"><Relationship Id="rId3" Type="http://schemas.openxmlformats.org/officeDocument/2006/relationships/externalLinkPath" Target="https://jll2.sharepoint.com/teams/UpstreamTeam/Shared%20Documents/General/01.%20Clients/Hibernia/2026/2602.%20-%20Scope%203%20Inventory/04.%20Client%20Data/26_Shared%20Folder/Copy%20of%20CWQ%20LEED%20Waste%20Calculator_Soft%20Strip_and_Demo_Combined%20results.xlsm" TargetMode="External"/><Relationship Id="rId2" Type="http://schemas.microsoft.com/office/2019/04/relationships/externalLinkLongPath" Target="https://jll2.sharepoint.com/teams/UpstreamTeam/Shared%20Documents/General/01.%20Clients/Hibernia/2026/2602.%20-%20Scope%203%20Inventory/04.%20Client%20Data/26_Shared%20Folder/Copy%20of%20CWQ%20LEED%20Waste%20Calculator_Soft%20Strip_and_Demo_Combined%20results.xlsm?CA64C50E" TargetMode="External"/><Relationship Id="rId1" Type="http://schemas.openxmlformats.org/officeDocument/2006/relationships/externalLinkPath" Target="file:///\\CA64C50E\Copy%20of%20CWQ%20LEED%20Waste%20Calculator_Soft%20Strip_and_Demo_Combined%20result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mysmartplace.sharepoint.com/Users/nde/OneDrive/OneDrive%20-%20My%20Smart%20Place/Guidance/Conversion_Factors_2018_-_Full_set__for_advanced_users__v01-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ACC0651\Futureproofing%202019%20v11%20-%20historic%20values%20pasted.xlsx"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https://hiberniareit.sharepoint.com/sustain/reports/Assurance%202026/2025%20ESG%20data%20book/OBSOLETE%202025%20ESG%20Data%20book%20draft%2024.06.2026.xlsx" TargetMode="External"/><Relationship Id="rId1" Type="http://schemas.openxmlformats.org/officeDocument/2006/relationships/externalLinkPath" Target="OBSOLETE%202025%20ESG%20Data%20book%20draft%2024.06.2026.xlsx" TargetMode="External"/></Relationships>
</file>

<file path=xl/externalLinks/_rels/externalLink25.xml.rels><?xml version="1.0" encoding="UTF-8" standalone="yes"?>
<Relationships xmlns="http://schemas.openxmlformats.org/package/2006/relationships"><Relationship Id="rId3" Type="http://schemas.openxmlformats.org/officeDocument/2006/relationships/externalLinkPath" Target="https://jll2.sharepoint.com/teams/ESGAssuranceProjects/Shared%20Documents/Assurance/01.%20Clients/Hibernia%20REG/2509%20-%20VSME%20Assurance/04.%20Client%20Data/Hibernia,%20JLL%20-%20Shared%20Folder/Hibernia%20Data/20260604V3_Scope3emissions_Inventory_Hibernia_2025.xlsx" TargetMode="External"/><Relationship Id="rId2" Type="http://schemas.microsoft.com/office/2019/04/relationships/externalLinkLongPath" Target="https://jll2.sharepoint.com/teams/ESGAssuranceProjects/Shared%20Documents/Assurance/01.%20Clients/Hibernia%20REG/2509%20-%20VSME%20Assurance/04.%20Client%20Data/Hibernia,%20JLL%20-%20Shared%20Folder/Hibernia%20Data/20260604V3_Scope3emissions_Inventory_Hibernia_2025.xlsx?9C821354" TargetMode="External"/><Relationship Id="rId1" Type="http://schemas.openxmlformats.org/officeDocument/2006/relationships/externalLinkPath" Target="file:///\\9C821354\20260604V3_Scope3emissions_Inventory_Hibernia_2025.xlsx" TargetMode="External"/></Relationships>
</file>

<file path=xl/externalLinks/_rels/externalLink26.xml.rels><?xml version="1.0" encoding="UTF-8" standalone="yes"?>
<Relationships xmlns="http://schemas.openxmlformats.org/package/2006/relationships"><Relationship Id="rId3" Type="http://schemas.openxmlformats.org/officeDocument/2006/relationships/externalLinkPath" Target="https://jll2.sharepoint.com/teams/UpstreamTeam/Shared%20Documents/General/01.%20Clients/Hibernia/2025/2502.%20-%20Hibernia_2025_UK-Inv_MUL__Sust_Mixed%20Retainer/04.%20Client%20Data/SHARED%20FOLDER/Scope%203%20Inventory%20Data/2025%20Hibernia%20Assurance%20KPI%20Tracker%2026052025%20(1).xlsx" TargetMode="External"/><Relationship Id="rId2" Type="http://schemas.microsoft.com/office/2019/04/relationships/externalLinkLongPath" Target="https://jll2.sharepoint.com/teams/UpstreamTeam/Shared%20Documents/General/01.%20Clients/Hibernia/2025/2502.%20-%20Hibernia_2025_UK-Inv_MUL__Sust_Mixed%20Retainer/04.%20Client%20Data/SHARED%20FOLDER/Scope%203%20Inventory%20Data/2025%20Hibernia%20Assurance%20KPI%20Tracker%2026052025%20(1).xlsx?C8151B4F" TargetMode="External"/><Relationship Id="rId1" Type="http://schemas.openxmlformats.org/officeDocument/2006/relationships/externalLinkPath" Target="file:///\\C8151B4F\2025%20Hibernia%20Assurance%20KPI%20Tracker%2026052025%20(1).xlsx"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file:///C:\Users\HOKeeffe\Downloads\2026%20Hibernia%20Assurance_NZC%20Progress%20Against%20Target%2027042026%20(1).xlsx" TargetMode="External"/><Relationship Id="rId1" Type="http://schemas.openxmlformats.org/officeDocument/2006/relationships/externalLinkPath" Target="file:///C:\Users\HOKeeffe\Downloads\2026%20Hibernia%20Assurance_NZC%20Progress%20Against%20Target%2027042026%20(1).xlsx" TargetMode="External"/></Relationships>
</file>

<file path=xl/externalLinks/_rels/externalLink28.xml.rels><?xml version="1.0" encoding="UTF-8" standalone="yes"?>
<Relationships xmlns="http://schemas.openxmlformats.org/package/2006/relationships"><Relationship Id="rId3" Type="http://schemas.openxmlformats.org/officeDocument/2006/relationships/externalLinkPath" Target="../../GRESB/2023/2022%20ESG%20Data%20Tables.xlsx" TargetMode="External"/><Relationship Id="rId2" Type="http://schemas.openxmlformats.org/officeDocument/2006/relationships/externalLinkPath" Target="https://hiberniareit.sharepoint.com/sustain/reports/GRESB/2023/2022%20ESG%20Data%20Tables.xlsx" TargetMode="External"/><Relationship Id="rId1" Type="http://schemas.openxmlformats.org/officeDocument/2006/relationships/externalLinkPath" Target="/sustain/reports/GRESB/2023/2022%20ESG%20Data%20Table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CSRD/VSME/V1%20Hibernia_VSME-Digital-Template-1.2.0%20(2).xlsx" TargetMode="External"/><Relationship Id="rId1" Type="http://schemas.openxmlformats.org/officeDocument/2006/relationships/externalLinkPath" Target="/sustain/reports/CSRD/VSME/V1%20Hibernia_VSME-Digital-Template-1.2.0%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jll2.sharepoint.com/fina/Reporting/Annual%20Report%202019/AR%202019%20Template%20v8.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iberniareit-my.sharepoint.com/fina/Reporting/Annual%20Report%202019/AR%202019%20Template%20v8.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na/Reporting/Annual%20Report%202019/AR%202019%20Template%20v8.xlsm" TargetMode="External"/><Relationship Id="rId1" Type="http://schemas.openxmlformats.org/officeDocument/2006/relationships/externalLinkPath" Target="/fina/Reporting/Annual%20Report%202019/AR%202019%20Template%20v8.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iberniareit-my.sharepoint.com/Users/hnesb/Documents/REIT/Company%20only%20management%20account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jll2.sharepoint.com/Users/hnesb/Documents/REIT/Company%20only%20management%20accounts.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hnesb/Documents/REIT/Company%20only%20management%20accounts.xlsx" TargetMode="External"/><Relationship Id="rId1" Type="http://schemas.openxmlformats.org/officeDocument/2006/relationships/externalLinkPath" Target="/Users/hnesb/Documents/REIT/Company%20only%20management%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l to Action Process"/>
      <sheetName val="CTA Eligibility Criteria"/>
      <sheetName val="CDP &amp; SBTI Scoring"/>
      <sheetName val="2. Scope 3 Screening"/>
      <sheetName val="2.2 - Fuel and energy rel act"/>
      <sheetName val="2.2 Defining key attributes"/>
      <sheetName val="2.3 Govt Reduction Targets"/>
      <sheetName val="2.4 Methodology Decision Tree"/>
      <sheetName val="2.5 Inputs req by each method"/>
      <sheetName val="2.5 Historic Data"/>
      <sheetName val="2.6 Competitor Analysis"/>
      <sheetName val="3.1 SDA Model"/>
      <sheetName val="3.2 C-FACT Model"/>
      <sheetName val="3.3 GEVA Model"/>
      <sheetName val="3.3 GEVA Model-Tableau"/>
      <sheetName val="4 Revenue Analysis"/>
      <sheetName val="4 Revenue Analysis-Tableau"/>
      <sheetName val="Scenario Analysis"/>
      <sheetName val="3.2.1 Scenario Modelling"/>
      <sheetName val="Renewable Opps"/>
      <sheetName val="Country Codes"/>
      <sheetName val="2017 Data"/>
      <sheetName val="2017 Elec Analysis"/>
      <sheetName val="Building"/>
      <sheetName val="Scenario Analysis-Tableau"/>
      <sheetName val="Project Plan"/>
      <sheetName val="1.1 Opening Meeting &amp; Scope"/>
      <sheetName val="1.2 Information Request"/>
      <sheetName val="Sheet1"/>
      <sheetName val="3.2 Summary Scenario Modelling"/>
      <sheetName val="CDP Questions"/>
      <sheetName val="WEOApr2016alla"/>
      <sheetName val="WEOOct2017all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Queries"/>
      <sheetName val="JLL portfolio environment total"/>
      <sheetName val="Combined  all"/>
      <sheetName val="JLL own office environment"/>
      <sheetName val="All data"/>
      <sheetName val="LFL Overview excl SD"/>
      <sheetName val="ABS Overview incl New"/>
      <sheetName val="ABS Summary Office"/>
      <sheetName val="ss ABS Summary Off + Res"/>
      <sheetName val="ss Summary"/>
      <sheetName val="ss Summary excl 1DC"/>
      <sheetName val="Clan 1"/>
      <sheetName val="Clan 2"/>
      <sheetName val="Clan 5"/>
      <sheetName val="Mar"/>
      <sheetName val="Clan 1-5 water alloc"/>
      <sheetName val="CNT "/>
      <sheetName val="Cum"/>
      <sheetName val="1 dc"/>
      <sheetName val="Waste allocaton 1 DC"/>
      <sheetName val="Har"/>
      <sheetName val="HOSE"/>
      <sheetName val="Mon"/>
      <sheetName val="Obs"/>
      <sheetName val="Sth Dk"/>
      <sheetName val="dundrum view 2017"/>
      <sheetName val="Wyckham 2017"/>
      <sheetName val="Property overview Summary"/>
      <sheetName val="Wyckham 2016"/>
      <sheetName val="dundrum view 2016 "/>
      <sheetName val="2016 LfL"/>
      <sheetName val="2016 Offices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Queries"/>
      <sheetName val="JLL portfolio environment total"/>
      <sheetName val="Combined  all"/>
      <sheetName val="JLL own office environment"/>
      <sheetName val="All data"/>
      <sheetName val="LFL Overview excl SD"/>
      <sheetName val="ABS Overview incl New"/>
      <sheetName val="ABS Summary Office"/>
      <sheetName val="ss ABS Summary Off + Res"/>
      <sheetName val="ss Summary"/>
      <sheetName val="ss Summary excl 1DC"/>
      <sheetName val="Clan 1"/>
      <sheetName val="Clan 2"/>
      <sheetName val="Clan 5"/>
      <sheetName val="Mar"/>
      <sheetName val="Clan 1-5 water alloc"/>
      <sheetName val="CNT "/>
      <sheetName val="Cum"/>
      <sheetName val="1 dc"/>
      <sheetName val="Waste allocaton 1 DC"/>
      <sheetName val="Har"/>
      <sheetName val="HOSE"/>
      <sheetName val="Mon"/>
      <sheetName val="Obs"/>
      <sheetName val="Sth Dk"/>
      <sheetName val="dundrum view 2017"/>
      <sheetName val="Wyckham 2017"/>
      <sheetName val="Property overview Summary"/>
      <sheetName val="Wyckham 2016"/>
      <sheetName val="dundrum view 2016 "/>
      <sheetName val="2016 LfL"/>
      <sheetName val="2016 Offices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bined  all"/>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Scenarios"/>
      <sheetName val="Calculations"/>
      <sheetName val="Notes"/>
      <sheetName val="Sources"/>
      <sheetName val="Lists"/>
      <sheetName val="EV_Performance"/>
      <sheetName val="FleetData_Vehicles"/>
      <sheetName val="HighLevel_FleetData"/>
      <sheetName val="FleetData_Emissions"/>
      <sheetName val="ElecEmissionFactor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1"/>
      <sheetName val="SUMMARY"/>
      <sheetName val="CP_1_UK"/>
      <sheetName val="CP_2_UK"/>
      <sheetName val="CP_3_UK"/>
      <sheetName val="CP_1_UKIn"/>
      <sheetName val="CP_2_UKIn"/>
      <sheetName val="CP_3_UKIn"/>
      <sheetName val="CP_1_US"/>
      <sheetName val="CP_2_US"/>
      <sheetName val="CP_3_US"/>
      <sheetName val="CP_1_GER"/>
      <sheetName val="CP_2_GER"/>
      <sheetName val="CP_3_GER"/>
      <sheetName val="NP_1_UK"/>
      <sheetName val="NP_2_UK"/>
      <sheetName val="NP_3_UK"/>
      <sheetName val="NP_1_UKIn"/>
      <sheetName val="NP_2_UKIn"/>
      <sheetName val="NP_3_UKIn"/>
      <sheetName val="NP_1_US"/>
      <sheetName val="NP_2_US"/>
      <sheetName val="NP_3_US"/>
      <sheetName val="NP_1_GER"/>
      <sheetName val="NP_2_GER"/>
      <sheetName val="NP_3_GER"/>
      <sheetName val="SD_1_UK"/>
      <sheetName val="SD_2_UK"/>
      <sheetName val="SD_3_UK"/>
      <sheetName val="SD_1_UKIn"/>
      <sheetName val="SD_2_UKIn"/>
      <sheetName val="SD_3_UKIn"/>
      <sheetName val="SD_1_US"/>
      <sheetName val="SD_2_US"/>
      <sheetName val="SD_3_US"/>
      <sheetName val="SD_1_GER"/>
      <sheetName val="SD_2_GER"/>
      <sheetName val="SD_3_GER"/>
      <sheetName val="Scenarios"/>
      <sheetName val="Calculations"/>
      <sheetName val="EV_Performance"/>
      <sheetName val="Notes"/>
      <sheetName val="Sources"/>
      <sheetName val="ElecEmissionFactors"/>
      <sheetName val="FleetData_Vehicles"/>
      <sheetName val="HighLevel_FleetData"/>
      <sheetName val="FleetData_Emissions"/>
      <sheetName val="SUMMARY_REGIONS"/>
      <sheetName val="Baseline Summary"/>
      <sheetName val="Pivot Graph"/>
      <sheetName val="Lists"/>
      <sheetName val="Fleet Emissions Model_AllScenar"/>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andLossIncomeStatement"/>
      <sheetName val="BalanceSheet"/>
      <sheetName val="Control"/>
      <sheetName val="P&amp;L"/>
      <sheetName val="BS"/>
      <sheetName val="AgedDebtorsDetailReport"/>
    </sheetNames>
    <sheetDataSet>
      <sheetData sheetId="0"/>
      <sheetData sheetId="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andLossIncomeStatement"/>
      <sheetName val="BalanceSheet"/>
      <sheetName val="Control"/>
      <sheetName val="P&amp;L"/>
      <sheetName val="BS"/>
      <sheetName val="AgedDebtorsDetailReport"/>
    </sheetNames>
    <sheetDataSet>
      <sheetData sheetId="0"/>
      <sheetData sheetId="1"/>
      <sheetData sheetId="2"/>
      <sheetData sheetId="3"/>
      <sheetData sheetId="4"/>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lanceSheet"/>
      <sheetName val="Control"/>
    </sheetNames>
    <sheetDataSet>
      <sheetData sheetId="0"/>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front tables"/>
      <sheetName val="Group FS"/>
      <sheetName val="Income State"/>
      <sheetName val="SOCI"/>
      <sheetName val="SOFP"/>
      <sheetName val="Changes in Equity"/>
      <sheetName val="Cashflow"/>
      <sheetName val="Cashflow notes"/>
      <sheetName val="Op segs"/>
      <sheetName val="Fixed assets"/>
      <sheetName val="Investment P"/>
      <sheetName val="EPRS IP Reconciliation"/>
      <sheetName val="IP Analysis"/>
      <sheetName val="IP Segment"/>
      <sheetName val="PERFORMANCE FEE DETAILS "/>
      <sheetName val="Windmill"/>
      <sheetName val="Directors rem"/>
      <sheetName val="Share capital"/>
      <sheetName val="Fair value note"/>
      <sheetName val="IM balances"/>
      <sheetName val="Company FS"/>
      <sheetName val="Notes"/>
      <sheetName val="Company BS"/>
      <sheetName val="Company P+L"/>
      <sheetName val="Company CF"/>
      <sheetName val="Company CF Notes"/>
      <sheetName val="fuse cash"/>
      <sheetName val="Company SOFE"/>
      <sheetName val="TB"/>
      <sheetName val="Company TB"/>
      <sheetName val="Company Investment P "/>
      <sheetName val="IP Analysis company"/>
      <sheetName val="Company fixed assets"/>
      <sheetName val="Company accounts amendments"/>
      <sheetName val="Supplementary Info"/>
      <sheetName val="EPRA Tables"/>
      <sheetName val="EPRA Tables supplmentary"/>
      <sheetName val="Building summary per EPRA guide"/>
      <sheetName val="Property details"/>
      <sheetName val="Property"/>
      <sheetName val="prtfolio analysis"/>
      <sheetName val="Tenancy"/>
      <sheetName val="adrians rent"/>
      <sheetName val="Unit"/>
      <sheetName val="residential"/>
      <sheetName val="Non core 5102"/>
      <sheetName val="Company Accounts"/>
      <sheetName val="Backup schedules"/>
      <sheetName val="Income smoothing"/>
      <sheetName val="Rent reconciliation"/>
      <sheetName val="Unanalysed property costs"/>
      <sheetName val="Direct property costs "/>
      <sheetName val="Inter company wkn"/>
      <sheetName val="staff costs"/>
      <sheetName val="bs ledger chk"/>
      <sheetName val="BS download"/>
      <sheetName val="plchk"/>
      <sheetName val="P+L Download"/>
      <sheetName val="non core disposals"/>
      <sheetName val="IP Purchase bal"/>
      <sheetName val="debtors listing aged"/>
      <sheetName val="creditors 7010"/>
      <sheetName val="creditors plc list"/>
      <sheetName val="Reval p recon"/>
      <sheetName val="arrangement fees"/>
      <sheetName val="DEBTORS ANALYSIS"/>
      <sheetName val="DEBTORS ANALYSIS Company"/>
      <sheetName val="receivables segment"/>
      <sheetName val="hIBERNIA HOLDING"/>
      <sheetName val="Acruals analysis"/>
      <sheetName val="Accruals analysis company"/>
      <sheetName val="vacancy dets"/>
      <sheetName val="PERFORMANCE FEE POS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front tables"/>
      <sheetName val="Group FS"/>
      <sheetName val="Income State"/>
      <sheetName val="SOCI"/>
      <sheetName val="SOFP"/>
      <sheetName val="Changes in Equity"/>
      <sheetName val="Cashflow"/>
      <sheetName val="Cashflow notes"/>
      <sheetName val="Op segs"/>
      <sheetName val="Fixed assets"/>
      <sheetName val="Investment P"/>
      <sheetName val="EPRS IP Reconciliation"/>
      <sheetName val="IP Analysis"/>
      <sheetName val="IP Segment"/>
      <sheetName val="PERFORMANCE FEE DETAILS "/>
      <sheetName val="Windmill"/>
      <sheetName val="Directors rem"/>
      <sheetName val="Share capital"/>
      <sheetName val="Fair value note"/>
      <sheetName val="IM balances"/>
      <sheetName val="Company FS"/>
      <sheetName val="Notes"/>
      <sheetName val="Company BS"/>
      <sheetName val="Company P+L"/>
      <sheetName val="Company CF"/>
      <sheetName val="Company CF Notes"/>
      <sheetName val="fuse cash"/>
      <sheetName val="Company SOFE"/>
      <sheetName val="TB"/>
      <sheetName val="Company TB"/>
      <sheetName val="Company Investment P "/>
      <sheetName val="IP Analysis company"/>
      <sheetName val="Company fixed assets"/>
      <sheetName val="Company accounts amendments"/>
      <sheetName val="Supplementary Info"/>
      <sheetName val="EPRA Tables"/>
      <sheetName val="EPRA Tables supplmentary"/>
      <sheetName val="Building summary per EPRA guide"/>
      <sheetName val="Property details"/>
      <sheetName val="Property"/>
      <sheetName val="prtfolio analysis"/>
      <sheetName val="Tenancy"/>
      <sheetName val="adrians rent"/>
      <sheetName val="Unit"/>
      <sheetName val="residential"/>
      <sheetName val="Non core 5102"/>
      <sheetName val="Company Accounts"/>
      <sheetName val="Backup schedules"/>
      <sheetName val="Income smoothing"/>
      <sheetName val="Rent reconciliation"/>
      <sheetName val="Unanalysed property costs"/>
      <sheetName val="Direct property costs "/>
      <sheetName val="Inter company wkn"/>
      <sheetName val="staff costs"/>
      <sheetName val="bs ledger chk"/>
      <sheetName val="BS download"/>
      <sheetName val="plchk"/>
      <sheetName val="P+L Download"/>
      <sheetName val="non core disposals"/>
      <sheetName val="IP Purchase bal"/>
      <sheetName val="debtors listing aged"/>
      <sheetName val="creditors 7010"/>
      <sheetName val="creditors plc list"/>
      <sheetName val="Reval p recon"/>
      <sheetName val="arrangement fees"/>
      <sheetName val="DEBTORS ANALYSIS"/>
      <sheetName val="DEBTORS ANALYSIS Company"/>
      <sheetName val="receivables segment"/>
      <sheetName val="hIBERNIA HOLDING"/>
      <sheetName val="Acruals analysis"/>
      <sheetName val="Accruals analysis company"/>
      <sheetName val="vacancy dets"/>
      <sheetName val="PERFORMANCE FEE POS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 cost inputs"/>
      <sheetName val="SUMMARY"/>
      <sheetName val="CP_1_UK"/>
      <sheetName val="CP_2_UK"/>
      <sheetName val="CP_3_UK"/>
      <sheetName val="CP_1_UKIn"/>
      <sheetName val="CP_2_UKIn"/>
      <sheetName val="CP_3_UKIn"/>
      <sheetName val="CP_1_US"/>
      <sheetName val="CP_2_US"/>
      <sheetName val="CP_3_US"/>
      <sheetName val="CP_1_GER"/>
      <sheetName val="CP_2_GER"/>
      <sheetName val="CP_3_GER"/>
      <sheetName val="NP_1_UK"/>
      <sheetName val="NP_2_UK"/>
      <sheetName val="NP_3_UK"/>
      <sheetName val="NP_1_UKIn"/>
      <sheetName val="NP_2_UKIn"/>
      <sheetName val="NP_3_UKIn"/>
      <sheetName val="NP_1_US"/>
      <sheetName val="NP_2_US"/>
      <sheetName val="NP_3_US"/>
      <sheetName val="NP_1_GER"/>
      <sheetName val="NP_2_GER"/>
      <sheetName val="NP_3_GER"/>
      <sheetName val="SD_1_UK"/>
      <sheetName val="SD_2_UK"/>
      <sheetName val="SD_3_UK"/>
      <sheetName val="SD_1_UKIn"/>
      <sheetName val="SD_2_UKIn"/>
      <sheetName val="SD_3_UKIn"/>
      <sheetName val="SD_1_US"/>
      <sheetName val="SD_2_US"/>
      <sheetName val="SD_3_US"/>
      <sheetName val="SD_1_GER"/>
      <sheetName val="SD_2_GER"/>
      <sheetName val="SD_3_GER"/>
      <sheetName val="Scenarios"/>
      <sheetName val="Calculations"/>
      <sheetName val="EV_Performance"/>
      <sheetName val="Notes"/>
      <sheetName val="Sources"/>
      <sheetName val="ElecEmissionFactors"/>
      <sheetName val="FleetData_Vehicles"/>
      <sheetName val="HighLevel_FleetData"/>
      <sheetName val="FleetData_Emissions"/>
      <sheetName val="SUMMARY_REGIONS"/>
      <sheetName val="Baseline Summary"/>
      <sheetName val="Lists"/>
      <sheetName val="Pivot Graph"/>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sheetData sheetId="19"/>
      <sheetData sheetId="20" refreshError="1"/>
      <sheetData sheetId="21"/>
      <sheetData sheetId="22"/>
      <sheetData sheetId="23" refreshError="1"/>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refreshError="1"/>
      <sheetData sheetId="42" refreshError="1"/>
      <sheetData sheetId="43" refreshError="1"/>
      <sheetData sheetId="44"/>
      <sheetData sheetId="45" refreshError="1"/>
      <sheetData sheetId="46" refreshError="1"/>
      <sheetData sheetId="47" refreshError="1"/>
      <sheetData sheetId="48"/>
      <sheetData sheetId="49"/>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 Download"/>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
      <sheetName val="Calculator"/>
      <sheetName val="Summary D+C"/>
      <sheetName val="Summary ND"/>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What's new"/>
      <sheetName val="Index"/>
      <sheetName val="Fuels"/>
      <sheetName val="Bioenergy"/>
      <sheetName val="Refrigerant &amp; other"/>
      <sheetName val="Passenger vehicles"/>
      <sheetName val="Delivery vehicles"/>
      <sheetName val="UK electricity"/>
      <sheetName val="Overseas electricity"/>
      <sheetName val="UK electricity for EVs"/>
      <sheetName val="Heat and steam"/>
      <sheetName val="WTT- fuels"/>
      <sheetName val="WTT- bioenergy"/>
      <sheetName val="Transmission and distribution"/>
      <sheetName val="UK electricity T&amp;D for EVs"/>
      <sheetName val="WTT- UK &amp; overseas elec"/>
      <sheetName val="WTT- heat and steam"/>
      <sheetName val="Water supply"/>
      <sheetName val="Water treatment"/>
      <sheetName val="Material use"/>
      <sheetName val="Waste disposal"/>
      <sheetName val="Business travel- air"/>
      <sheetName val="WTT- business travel- air"/>
      <sheetName val="Business travel- sea"/>
      <sheetName val="WTT- business travel- sea"/>
      <sheetName val="Business travel- land"/>
      <sheetName val="WTT- pass vehs &amp; travel- land"/>
      <sheetName val="Freighting goods"/>
      <sheetName val="WTT- delivery vehs &amp; freight"/>
      <sheetName val="Hotel stay"/>
      <sheetName val="Managed assets- electricity"/>
      <sheetName val="Managed assets- vehicles"/>
      <sheetName val="Outside of scopes"/>
      <sheetName val="Conversions"/>
      <sheetName val="Fuel proper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Offices£"/>
      <sheetName val="Retail£"/>
      <sheetName val="Index"/>
      <sheetName val="17.£"/>
      <sheetName val="18.GHG"/>
      <sheetName val="19.L4L"/>
      <sheetName val="20.Sc3"/>
      <sheetName val="21. By gas"/>
      <sheetName val="22.Index"/>
      <sheetName val="ARA"/>
      <sheetName val="24.Elec"/>
      <sheetName val="25.Fuel"/>
      <sheetName val="26.L4L"/>
      <sheetName val="27.MP"/>
      <sheetName val="28 E by fuel"/>
      <sheetName val="29.Index"/>
      <sheetName val="31.Water"/>
      <sheetName val="32.W L4L"/>
      <sheetName val="33. W Index"/>
      <sheetName val="34.Wst"/>
      <sheetName val="35.Wst L4L"/>
      <sheetName val="Scope1"/>
      <sheetName val="Scope2"/>
      <sheetName val="L4L Scope"/>
      <sheetName val="6Y£"/>
      <sheetName val="Elec"/>
      <sheetName val="Fuel"/>
      <sheetName val="Total Fuels"/>
      <sheetName val="BL"/>
      <sheetName val="BL Int"/>
      <sheetName val="L4L Elec"/>
      <sheetName val="L4L Fuel"/>
      <sheetName val="CO2"/>
      <sheetName val="GHG by gas"/>
      <sheetName val="CO2 (Scope 3)"/>
      <sheetName val="L4L CO2"/>
      <sheetName val="CO2market 19"/>
      <sheetName val="CO2market 18"/>
      <sheetName val="Elec excl"/>
      <sheetName val="W"/>
      <sheetName val="L4L W"/>
      <sheetName val="Wst"/>
      <sheetName val="L4L Wst"/>
      <sheetName val="Storey"/>
      <sheetName val="Resi FY19"/>
      <sheetName val="Resi FY18"/>
      <sheetName val="Embodied Carbon"/>
      <sheetName val="Fuels by typ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rCiGLo-zQkiRtcsYd48jb_qo0UhKnZNKrIzfsaeQue47sxf400dPSaVCQ33-B5Yq" itemId="01SX3QSNR3OGZ2MP3VKJCYG5GVBF6KZVRV">
      <xxl21:absoluteUrl r:id="rId2"/>
    </xxl21:alternateUrls>
    <sheetNames>
      <sheetName val="Tracker"/>
      <sheetName val="Flow"/>
      <sheetName val="Lists"/>
      <sheetName val="S&amp;G 2025"/>
      <sheetName val="S&amp;G Emp"/>
      <sheetName val="Diversity Employee Age Distribu"/>
      <sheetName val="H&amp;S Audits List Assets"/>
      <sheetName val="Contents"/>
      <sheetName val="1"/>
      <sheetName val="2"/>
      <sheetName val="3"/>
      <sheetName val="4"/>
      <sheetName val="5"/>
      <sheetName val="6"/>
      <sheetName val="7"/>
      <sheetName val="8"/>
      <sheetName val="9"/>
      <sheetName val="Areas "/>
      <sheetName val="2024 Asset list"/>
      <sheetName val="2025 VSME Data"/>
      <sheetName val="2025 GRESB"/>
      <sheetName val="Emissions 2025"/>
      <sheetName val="Emissions 2024"/>
      <sheetName val="Water 2024"/>
      <sheetName val="Waste 2024"/>
      <sheetName val="2025 Electricity (2)"/>
      <sheetName val="Gas 2024"/>
      <sheetName val="2024 GAS EUI estimates "/>
      <sheetName val="Gas Building Totals 2025"/>
      <sheetName val="2025 Raw Water"/>
      <sheetName val="2025 Water Data Est."/>
      <sheetName val="2025 Asset list "/>
      <sheetName val="UPDATED WASTE DATA 2025"/>
      <sheetName val="Electricity 2024"/>
      <sheetName val="2024 IEA CO2e Conversion Factor"/>
      <sheetName val="Target EUI"/>
      <sheetName val="TCFD savings 2025"/>
      <sheetName val="Supplier Due Diligence"/>
      <sheetName val="List of H&amp;W initiatives 2025"/>
      <sheetName val="List of H&amp;W initiatives 2024"/>
      <sheetName val="GRESB 2024"/>
    </sheetNames>
    <sheetDataSet>
      <sheetData sheetId="0"/>
      <sheetData sheetId="1"/>
      <sheetData sheetId="2"/>
      <sheetData sheetId="3"/>
      <sheetData sheetId="4"/>
      <sheetData sheetId="5"/>
      <sheetData sheetId="6"/>
      <sheetData sheetId="7"/>
      <sheetData sheetId="8"/>
      <sheetData sheetId="9"/>
      <sheetData sheetId="10">
        <row r="8">
          <cell r="D8">
            <v>10882161.455594517</v>
          </cell>
        </row>
        <row r="9">
          <cell r="D9">
            <v>17770.355650000001</v>
          </cell>
        </row>
        <row r="10">
          <cell r="D10">
            <v>6536316.9352120198</v>
          </cell>
        </row>
        <row r="15">
          <cell r="D15">
            <v>16213126.750929432</v>
          </cell>
        </row>
      </sheetData>
      <sheetData sheetId="11">
        <row r="8">
          <cell r="D8">
            <v>78269.02054447931</v>
          </cell>
        </row>
      </sheetData>
      <sheetData sheetId="12"/>
      <sheetData sheetId="13">
        <row r="10">
          <cell r="E10">
            <v>366.93</v>
          </cell>
        </row>
        <row r="13">
          <cell r="E13">
            <v>687.65403860000004</v>
          </cell>
        </row>
        <row r="18">
          <cell r="E18">
            <v>756.23</v>
          </cell>
        </row>
        <row r="19">
          <cell r="E19">
            <v>662.27</v>
          </cell>
        </row>
        <row r="20">
          <cell r="E20">
            <v>18916.22</v>
          </cell>
        </row>
        <row r="21">
          <cell r="E21">
            <v>215.39</v>
          </cell>
        </row>
        <row r="22">
          <cell r="E22">
            <v>50.92</v>
          </cell>
        </row>
        <row r="23">
          <cell r="E23">
            <v>23.4</v>
          </cell>
        </row>
        <row r="24">
          <cell r="E24">
            <v>19.73</v>
          </cell>
        </row>
        <row r="25">
          <cell r="E25">
            <v>2421.0700000000002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1">
          <cell r="BE21">
            <v>183.4288189202139</v>
          </cell>
          <cell r="BF21">
            <v>47.414397284793353</v>
          </cell>
          <cell r="BG21">
            <v>564.04035957109932</v>
          </cell>
        </row>
      </sheetData>
      <sheetData sheetId="33"/>
      <sheetData sheetId="34"/>
      <sheetData sheetId="35"/>
      <sheetData sheetId="36"/>
      <sheetData sheetId="37"/>
      <sheetData sheetId="38"/>
      <sheetData sheetId="39"/>
      <sheetData sheetId="4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cope 3 Tracker"/>
      <sheetName val="Head Office"/>
      <sheetName val="2024_Analysis"/>
      <sheetName val="Head_Office_data"/>
      <sheetName val="Cat 01 - Purchased goods UK"/>
      <sheetName val="Cat01_2025 Data"/>
      <sheetName val="Cat01_2025 Prop Man Data"/>
      <sheetName val="Cat01_Summ"/>
      <sheetName val="Cat01_Categorisation"/>
      <sheetName val="Cat01&amp;02_EF"/>
      <sheetName val="Cat01_Exclude"/>
      <sheetName val="Cat 02 - Capital goods"/>
      <sheetName val="Cat02_Data"/>
      <sheetName val="Cat02_Summary"/>
      <sheetName val="Cat02_Categorisation"/>
      <sheetName val="Cat02_Exclude"/>
      <sheetName val="Cat 03 - Fuel and energy "/>
      <sheetName val="Cat03_calcs&amp;data"/>
      <sheetName val="Cat 3 Raw Data 2024"/>
      <sheetName val="ESGDATABOOK 2024"/>
      <sheetName val="Cat 05 - Operational waste"/>
      <sheetName val="Cat 04 - Upstream transport"/>
      <sheetName val="Waste_report"/>
      <sheetName val="Cat 5 Raw Waste 2024"/>
      <sheetName val="Cat 5 Raw Waste Emissions 2024"/>
      <sheetName val="UPDATED WASTE DATA 2025"/>
      <sheetName val="Cat 06 - Business travel "/>
      <sheetName val="Cat 7 Raw Data"/>
      <sheetName val="Cat 07 - Employee commuting"/>
      <sheetName val="Cat 09 - Downstream transport"/>
      <sheetName val="Operational water"/>
      <sheetName val="Cat 13 - Downstream tenants"/>
      <sheetName val="Emissions factors"/>
      <sheetName val="updated scope 3 data file"/>
      <sheetName val="Scope 3 file- 2025"/>
      <sheetName val="2024 Raw Water"/>
      <sheetName val="2025 Raw Water"/>
      <sheetName val="Detail1"/>
      <sheetName val="2025 Water Data Est."/>
      <sheetName val="Lists"/>
      <sheetName val="BER Benchma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3">
          <cell r="G23">
            <v>999.58299999999997</v>
          </cell>
          <cell r="H23">
            <v>999.58299999999997</v>
          </cell>
          <cell r="I23">
            <v>999.58299999999997</v>
          </cell>
          <cell r="J23">
            <v>999.58299999999997</v>
          </cell>
          <cell r="K23">
            <v>999.58299999999997</v>
          </cell>
          <cell r="L23">
            <v>999.58299999999997</v>
          </cell>
          <cell r="M23">
            <v>999.58299999999997</v>
          </cell>
          <cell r="N23">
            <v>999.58299999999997</v>
          </cell>
          <cell r="O23">
            <v>999.58299999999997</v>
          </cell>
          <cell r="P23">
            <v>999.58299999999997</v>
          </cell>
          <cell r="Q23">
            <v>999.58299999999997</v>
          </cell>
          <cell r="R23">
            <v>999.58299999999997</v>
          </cell>
        </row>
        <row r="24">
          <cell r="G24">
            <v>41.65</v>
          </cell>
          <cell r="H24">
            <v>41.65</v>
          </cell>
          <cell r="I24">
            <v>41.65</v>
          </cell>
          <cell r="J24">
            <v>41.65</v>
          </cell>
          <cell r="K24">
            <v>41.65</v>
          </cell>
          <cell r="L24">
            <v>41.65</v>
          </cell>
          <cell r="M24">
            <v>41.65</v>
          </cell>
          <cell r="N24">
            <v>41.65</v>
          </cell>
          <cell r="O24">
            <v>41.65</v>
          </cell>
          <cell r="P24">
            <v>41.65</v>
          </cell>
          <cell r="Q24">
            <v>41.65</v>
          </cell>
          <cell r="R24">
            <v>41.65</v>
          </cell>
        </row>
        <row r="28">
          <cell r="G28">
            <v>65.94</v>
          </cell>
          <cell r="H28">
            <v>65.94</v>
          </cell>
          <cell r="I28">
            <v>65.94</v>
          </cell>
          <cell r="J28">
            <v>65.94</v>
          </cell>
          <cell r="K28">
            <v>65.94</v>
          </cell>
          <cell r="L28">
            <v>65.94</v>
          </cell>
          <cell r="M28">
            <v>65.94</v>
          </cell>
          <cell r="N28">
            <v>65.94</v>
          </cell>
          <cell r="O28">
            <v>65.94</v>
          </cell>
          <cell r="P28">
            <v>65.94</v>
          </cell>
          <cell r="Q28">
            <v>65.94</v>
          </cell>
          <cell r="R28">
            <v>65.94</v>
          </cell>
        </row>
        <row r="31">
          <cell r="G31">
            <v>17.010000000000002</v>
          </cell>
          <cell r="H31">
            <v>17.010000000000002</v>
          </cell>
          <cell r="I31">
            <v>17.010000000000002</v>
          </cell>
          <cell r="J31">
            <v>17.010000000000002</v>
          </cell>
          <cell r="K31">
            <v>17.010000000000002</v>
          </cell>
          <cell r="L31">
            <v>17.010000000000002</v>
          </cell>
          <cell r="M31">
            <v>17.010000000000002</v>
          </cell>
          <cell r="N31">
            <v>17.010000000000002</v>
          </cell>
          <cell r="O31">
            <v>17.010000000000002</v>
          </cell>
          <cell r="P31">
            <v>17.010000000000002</v>
          </cell>
          <cell r="Q31">
            <v>17.010000000000002</v>
          </cell>
          <cell r="R31">
            <v>17.010000000000002</v>
          </cell>
        </row>
        <row r="33">
          <cell r="G33">
            <v>2702.7910000000002</v>
          </cell>
          <cell r="H33">
            <v>2702.7910000000002</v>
          </cell>
          <cell r="I33">
            <v>2702.7910000000002</v>
          </cell>
          <cell r="J33">
            <v>2702.7910000000002</v>
          </cell>
          <cell r="K33">
            <v>2702.7910000000002</v>
          </cell>
          <cell r="L33">
            <v>2702.7910000000002</v>
          </cell>
          <cell r="M33">
            <v>2702.7910000000002</v>
          </cell>
          <cell r="N33">
            <v>2702.7910000000002</v>
          </cell>
          <cell r="O33">
            <v>2702.7910000000002</v>
          </cell>
          <cell r="P33">
            <v>2702.7910000000002</v>
          </cell>
          <cell r="Q33">
            <v>2702.7910000000002</v>
          </cell>
          <cell r="R33">
            <v>2702.7910000000002</v>
          </cell>
        </row>
      </sheetData>
      <sheetData sheetId="36"/>
      <sheetData sheetId="37"/>
      <sheetData sheetId="38"/>
      <sheetData sheetId="39"/>
      <sheetData sheetId="4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JLL Assurance Proposal"/>
      <sheetName val="Tracker"/>
      <sheetName val="Flow"/>
      <sheetName val="Lists"/>
      <sheetName val="S&amp;G Emp"/>
      <sheetName val="Diversity Employee Age Distribu"/>
      <sheetName val="H&amp;S Audits List Assets"/>
      <sheetName val="Contents"/>
      <sheetName val="1"/>
      <sheetName val="2"/>
      <sheetName val="3"/>
      <sheetName val="4"/>
      <sheetName val="5"/>
      <sheetName val="6"/>
      <sheetName val="7"/>
      <sheetName val="8"/>
      <sheetName val="9"/>
      <sheetName val="10"/>
      <sheetName val="Emissions 2024"/>
      <sheetName val="Asset list"/>
      <sheetName val="Areas "/>
      <sheetName val="Water 2024"/>
      <sheetName val="Waste 2024"/>
      <sheetName val="Gas 2024"/>
      <sheetName val="GAS EUI estimates "/>
      <sheetName val="Electricity 2024"/>
      <sheetName val="2024 IEA CO2e Conversion Factor"/>
      <sheetName val="Target EUI"/>
      <sheetName val="TCFD savings"/>
      <sheetName val="List of H&amp;W initiatives 2024"/>
      <sheetName val="Supplier Due Diligence"/>
      <sheetName val="GRESB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
          <cell r="B3" t="str">
            <v>Central Quay</v>
          </cell>
          <cell r="I3">
            <v>6951.3586250000008</v>
          </cell>
        </row>
        <row r="4">
          <cell r="B4" t="str">
            <v xml:space="preserve">1 Cumberland Place </v>
          </cell>
          <cell r="I4">
            <v>14819.291874999999</v>
          </cell>
        </row>
        <row r="5">
          <cell r="B5" t="str">
            <v>Hardwicke House</v>
          </cell>
          <cell r="I5">
            <v>5060.4952499999999</v>
          </cell>
        </row>
        <row r="6">
          <cell r="B6" t="str">
            <v>Montague House</v>
          </cell>
          <cell r="I6">
            <v>5198.3356249999997</v>
          </cell>
        </row>
        <row r="7">
          <cell r="B7" t="str">
            <v>Earlsfort Terrace</v>
          </cell>
          <cell r="I7">
            <v>2579.3685</v>
          </cell>
        </row>
        <row r="8">
          <cell r="B8" t="str">
            <v>1 Windmill Lane</v>
          </cell>
          <cell r="I8">
            <v>18145.758857142857</v>
          </cell>
        </row>
        <row r="9">
          <cell r="B9" t="str">
            <v>2 Windmill Lane</v>
          </cell>
          <cell r="I9">
            <v>8705.8912500000006</v>
          </cell>
        </row>
        <row r="10">
          <cell r="B10" t="str">
            <v>Observatory</v>
          </cell>
          <cell r="I10">
            <v>10074.656625</v>
          </cell>
        </row>
        <row r="11">
          <cell r="B11" t="str">
            <v>South Dock House</v>
          </cell>
          <cell r="I11">
            <v>1084.7236250000001</v>
          </cell>
        </row>
        <row r="12">
          <cell r="B12" t="str">
            <v>Dundrum View</v>
          </cell>
          <cell r="I12">
            <v>7865.9591249999994</v>
          </cell>
        </row>
        <row r="13">
          <cell r="B13" t="str">
            <v>Resi Units 1WML</v>
          </cell>
          <cell r="I13">
            <v>1662.4455</v>
          </cell>
        </row>
        <row r="14">
          <cell r="B14" t="str">
            <v>Wyckham Place</v>
          </cell>
          <cell r="I14">
            <v>21270.500124999999</v>
          </cell>
        </row>
        <row r="15">
          <cell r="B15" t="str">
            <v>Gateway Business Park</v>
          </cell>
          <cell r="I15">
            <v>16530.626</v>
          </cell>
        </row>
        <row r="16">
          <cell r="B16" t="str">
            <v>SOBO Works</v>
          </cell>
          <cell r="I16">
            <v>1313.606</v>
          </cell>
        </row>
        <row r="17">
          <cell r="B17" t="str">
            <v>35 -37 Camden Street</v>
          </cell>
          <cell r="I17">
            <v>566.3184</v>
          </cell>
        </row>
        <row r="18">
          <cell r="B18" t="str">
            <v>1-6 Sir John Rogerson's Quay</v>
          </cell>
          <cell r="I18">
            <v>13745.367875</v>
          </cell>
        </row>
        <row r="19">
          <cell r="B19" t="str">
            <v>Cannon Place</v>
          </cell>
          <cell r="I19">
            <v>1367.9524999999999</v>
          </cell>
        </row>
        <row r="20">
          <cell r="B20" t="str">
            <v>50 City Quay</v>
          </cell>
          <cell r="I20">
            <v>508.85974999999996</v>
          </cell>
        </row>
        <row r="21">
          <cell r="B21" t="str">
            <v xml:space="preserve">2 Cumberland Place </v>
          </cell>
          <cell r="I21">
            <v>6649.3174999999992</v>
          </cell>
        </row>
        <row r="22">
          <cell r="B22" t="str">
            <v xml:space="preserve">Portview Office/Resi </v>
          </cell>
          <cell r="I22">
            <v>6259.4858750000003</v>
          </cell>
        </row>
      </sheetData>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low"/>
      <sheetName val="Lists"/>
      <sheetName val="Target EUI"/>
      <sheetName val="Asset list"/>
      <sheetName val="Areas "/>
      <sheetName val="EUI"/>
      <sheetName val="2026 Hibernia Assurance_NZC Pro"/>
    </sheetNames>
    <sheetDataSet>
      <sheetData sheetId="0"/>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rCiGLo-zQkiRtcsYd48jb_qo0UhKnZNKrIzfsaeQue47sxf400dPSaVCQ33-B5Yq" itemId="01SX3QSNWGLLBX2KWVMZH2ZSJL32B5N6ML">
      <xxl21:absoluteUrl r:id="rId2"/>
      <xxl21:relativeUrl r:id="rId3"/>
    </xxl21:alternateUrls>
    <sheetNames>
      <sheetName val="Master"/>
      <sheetName val="Occupier data"/>
      <sheetName val="Property Details"/>
      <sheetName val="jll table "/>
      <sheetName val="own offices"/>
      <sheetName val="office table"/>
      <sheetName val="Residential"/>
      <sheetName val="13210 Dundrum View "/>
      <sheetName val="13193 Wyckham Way"/>
      <sheetName val="Utilities Annual"/>
      <sheetName val="1CP and 2CP Elec"/>
      <sheetName val="CO2 Table"/>
      <sheetName val="Waste Annual"/>
      <sheetName val="1WML Waste"/>
      <sheetName val="Waste Data"/>
      <sheetName val="All Data Flows"/>
      <sheetName val="Actual Days Covered"/>
      <sheetName val="Target - Carbon"/>
      <sheetName val="Target EUI &amp; GHG"/>
      <sheetName val="Target EUI_GHG CORE Assets"/>
      <sheetName val="Target EUI_GHG CORE Assets alt"/>
      <sheetName val="Target Recycling"/>
    </sheetNames>
    <sheetDataSet>
      <sheetData sheetId="0">
        <row r="46">
          <cell r="H46">
            <v>863141.90711999987</v>
          </cell>
          <cell r="I46">
            <v>48618.436099999999</v>
          </cell>
          <cell r="J46">
            <v>826993.45796000003</v>
          </cell>
          <cell r="M46">
            <v>21339</v>
          </cell>
          <cell r="N46">
            <v>386560.62619133713</v>
          </cell>
          <cell r="O46">
            <v>177848.62154866286</v>
          </cell>
          <cell r="P46">
            <v>386121.92595800007</v>
          </cell>
          <cell r="Q46">
            <v>505637.31734999991</v>
          </cell>
          <cell r="R46">
            <v>322775.62351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neral Information"/>
      <sheetName val="Technical Sheet"/>
      <sheetName val="Translations"/>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reserve reconciliation"/>
      <sheetName val="Best practice disclosures SBP"/>
      <sheetName val="Group FS&gt;"/>
      <sheetName val="CIS"/>
      <sheetName val="CSCI"/>
      <sheetName val="CSFP"/>
      <sheetName val="CSCE"/>
      <sheetName val="CSCF"/>
      <sheetName val="Notes&gt;"/>
      <sheetName val="Group P+L notes"/>
      <sheetName val="Balance sheet notes"/>
      <sheetName val="Net debt rec"/>
      <sheetName val="Financial management and risk"/>
      <sheetName val="Interest rate "/>
      <sheetName val="Impact of IFRS 9 and 15"/>
      <sheetName val="segments"/>
      <sheetName val="Rental income by Tenant Industr"/>
      <sheetName val="Assets analysed Group"/>
      <sheetName val="6210 Group"/>
      <sheetName val="Liabilities Group"/>
      <sheetName val="Accruals analysis Group"/>
      <sheetName val="Creditors Group"/>
      <sheetName val="Dividends note"/>
      <sheetName val="SBP at financial year end"/>
      <sheetName val="Performance fee reserve movemen"/>
      <sheetName val="Vendor shares reconciliation"/>
      <sheetName val="Employee SBP reserve reconcilia"/>
      <sheetName val="20 day SP"/>
      <sheetName val="TB GROUP"/>
      <sheetName val="Supplementary&gt;&gt;"/>
      <sheetName val="five year record"/>
      <sheetName val="totp 10"/>
      <sheetName val="EPRA &gt;&gt;"/>
      <sheetName val="EPRA sheet"/>
      <sheetName val="EPRA summary"/>
      <sheetName val="EPRA tables"/>
      <sheetName val="Company &gt;&gt;"/>
      <sheetName val="Company CSFP"/>
      <sheetName val="Company SCE"/>
      <sheetName val="Company CSCF"/>
      <sheetName val="old"/>
      <sheetName val="TB Company only"/>
      <sheetName val="Company notes &gt;&gt;"/>
      <sheetName val="Company notes"/>
      <sheetName val="Balance sheet notes company"/>
      <sheetName val="Financial management Company"/>
      <sheetName val="Assets analysed Company "/>
      <sheetName val="Liabilities Company"/>
      <sheetName val="Company Contract Liabilities"/>
      <sheetName val="6210 Company Only "/>
      <sheetName val="Workings sheets&gt;&gt;"/>
      <sheetName val="ip analysis Group "/>
      <sheetName val="ip analysis Company"/>
      <sheetName val="IP Analysis ledger  Group"/>
      <sheetName val="IP Analysis ledger company"/>
      <sheetName val="IP Analysis ledger Company OLD"/>
      <sheetName val="tb pivot  by gl cat"/>
      <sheetName val="nch disposal"/>
      <sheetName val="77sjrq disposal"/>
      <sheetName val="refinancing"/>
      <sheetName val="TB Download"/>
      <sheetName val="ip moves"/>
      <sheetName val="gl on property sales"/>
      <sheetName val="IC Loan moves"/>
      <sheetName val="Company S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reserve reconciliation"/>
      <sheetName val="Best practice disclosures SBP"/>
      <sheetName val="Group FS&gt;"/>
      <sheetName val="CIS"/>
      <sheetName val="CSCI"/>
      <sheetName val="CSFP"/>
      <sheetName val="CSCE"/>
      <sheetName val="CSCF"/>
      <sheetName val="Notes&gt;"/>
      <sheetName val="Group P+L notes"/>
      <sheetName val="Balance sheet notes"/>
      <sheetName val="Net debt rec"/>
      <sheetName val="Financial management and risk"/>
      <sheetName val="Interest rate "/>
      <sheetName val="Impact of IFRS 9 and 15"/>
      <sheetName val="segments"/>
      <sheetName val="Rental income by Tenant Industr"/>
      <sheetName val="Assets analysed Group"/>
      <sheetName val="6210 Group"/>
      <sheetName val="Liabilities Group"/>
      <sheetName val="Accruals analysis Group"/>
      <sheetName val="Creditors Group"/>
      <sheetName val="Dividends note"/>
      <sheetName val="SBP at financial year end"/>
      <sheetName val="Performance fee reserve movemen"/>
      <sheetName val="Vendor shares reconciliation"/>
      <sheetName val="Employee SBP reserve reconcilia"/>
      <sheetName val="20 day SP"/>
      <sheetName val="TB GROUP"/>
      <sheetName val="Supplementary&gt;&gt;"/>
      <sheetName val="five year record"/>
      <sheetName val="totp 10"/>
      <sheetName val="EPRA &gt;&gt;"/>
      <sheetName val="EPRA sheet"/>
      <sheetName val="EPRA summary"/>
      <sheetName val="EPRA tables"/>
      <sheetName val="Company &gt;&gt;"/>
      <sheetName val="Company CSFP"/>
      <sheetName val="Company SCE"/>
      <sheetName val="Company CSCF"/>
      <sheetName val="old"/>
      <sheetName val="TB Company only"/>
      <sheetName val="Company notes &gt;&gt;"/>
      <sheetName val="Company notes"/>
      <sheetName val="Balance sheet notes company"/>
      <sheetName val="Financial management Company"/>
      <sheetName val="Assets analysed Company "/>
      <sheetName val="Liabilities Company"/>
      <sheetName val="Company Contract Liabilities"/>
      <sheetName val="6210 Company Only "/>
      <sheetName val="Workings sheets&gt;&gt;"/>
      <sheetName val="ip analysis Group "/>
      <sheetName val="ip analysis Company"/>
      <sheetName val="IP Analysis ledger  Group"/>
      <sheetName val="IP Analysis ledger company"/>
      <sheetName val="IP Analysis ledger Company OLD"/>
      <sheetName val="tb pivot  by gl cat"/>
      <sheetName val="nch disposal"/>
      <sheetName val="77sjrq disposal"/>
      <sheetName val="refinancing"/>
      <sheetName val="TB Download"/>
      <sheetName val="ip moves"/>
      <sheetName val="gl on property sales"/>
      <sheetName val="IC Loan moves"/>
      <sheetName val="Company S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B Download"/>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andLossIncomeStatement"/>
      <sheetName val="BalanceSheet"/>
      <sheetName val="Control"/>
      <sheetName val="P&amp;L"/>
      <sheetName val="BS"/>
      <sheetName val="AgedDebtorsDetailReport"/>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andLossIncomeStatement"/>
      <sheetName val="BalanceSheet"/>
      <sheetName val="Control"/>
      <sheetName val="P&amp;L"/>
      <sheetName val="BS"/>
      <sheetName val="AgedDebtorsDetailReport"/>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lanceSheet"/>
      <sheetName val="Control"/>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person displayName="Louise Puplett" id="{AF9E4225-AA20-494F-A550-0E5F676E426F}" userId="LPuplett@hiberniareg.com" providerId="PeoplePicker"/>
  <person displayName="Hannah O' Keeffe" id="{83FC294B-7BB7-456D-AAEA-D36D103BF709}" userId="hokeeffe@hiberniareg.com" providerId="PeoplePicker"/>
  <person displayName="Neil Menzies" id="{2825972E-8290-4BD3-B241-F47A71BCBFD3}" userId="nmenzies@hiberniareg.com" providerId="PeoplePicker"/>
  <person displayName="Hannah O' Keeffe" id="{F073DC26-2CA4-4FC9-A8A4-388B9FDD4F4E}" userId="S::hokeeffe@hiberniareg.com::783f3d23-abac-41b0-ba3d-b06b98d09785" providerId="AD"/>
  <person displayName="Louise Puplett" id="{5E9C84F4-A7F4-418B-93C9-BF8A6DFD4B6D}" userId="S::lpuplett@hiberniareg.com::48829060-02db-4647-94a9-fe4a181b0d25" providerId="AD"/>
  <person displayName="Neil Menzies" id="{4ABCC342-8188-427C-876C-2D716452ED7B}" userId="S::nmenzies@hiberniareg.com::b8d20cec-a24e-4087-a628-85d3b84ce4e2" providerId="AD"/>
  <person displayName="Platais, Robbie" id="{B1F75A68-67B7-4B56-A3E0-612317DC2EAA}" userId="S::Robbie.Platais@eu.jll.com::99926240-b07a-41f2-b6e3-181037e36900" providerId="AD"/>
</personList>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2025%20Waste%20consumption%20&amp;%20emissions%20V3.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3" Type="http://schemas.microsoft.com/office/2019/04/relationships/externalLinkLongPath" Target="https://jll2.sharepoint.com/teams/ESGAssuranceProjects/Shared%20Documents/Assurance/01.%20Clients/Hibernia%20REG/2509%20-%20VSME%20Assurance/04.%20Client%20Data/Hibernia,%20JLL%20-%20Shared%20Folder/Hibernia%20Data/20260604V3_Scope3emissions_Inventory_Hibernia_2025.xlsx?9C821354" TargetMode="External"/><Relationship Id="rId2" Type="http://schemas.openxmlformats.org/officeDocument/2006/relationships/externalLinkPath" Target="file:///\\9C821354\20260604V3_Scope3emissions_Inventory_Hibernia_2025.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183.376837847223" createdVersion="8" refreshedVersion="8" minRefreshableVersion="3" recordCount="471" xr:uid="{FF76B379-58C6-4B50-9176-1D27B962DD2A}">
  <cacheSource type="worksheet">
    <worksheetSource ref="A1:K472" sheet="Sheet" r:id="rId2"/>
  </cacheSource>
  <cacheFields count="11">
    <cacheField name="Building name" numFmtId="0">
      <sharedItems count="15">
        <s v="1 Windmill Lane"/>
        <s v="2 Windmill Lane"/>
        <s v="1 Cumberland Place"/>
        <s v="2 Cumberland Place"/>
        <s v="Dundrum View"/>
        <s v="Hardwicke House"/>
        <s v="Montague House"/>
        <s v="Gateway"/>
        <s v="The Observatory"/>
        <s v="Hannover Mills"/>
        <s v="Wyckham Place"/>
        <s v="Portview House"/>
        <s v="Central Quay"/>
        <s v="One Earlsfort Terrace"/>
        <s v="1 Sir John Rogerson Quay"/>
      </sharedItems>
    </cacheField>
    <cacheField name="Meter name" numFmtId="0">
      <sharedItems/>
    </cacheField>
    <cacheField name="Utility" numFmtId="0">
      <sharedItems/>
    </cacheField>
    <cacheField name="Waste type" numFmtId="0">
      <sharedItems count="3">
        <s v="Food waste"/>
        <s v="Dry Mixed Recyclables"/>
        <s v="General Commercial waste"/>
      </sharedItems>
    </cacheField>
    <cacheField name="Waste production - Energy recovery (kg)" numFmtId="0">
      <sharedItems containsString="0" containsBlank="1" containsNumber="1" minValue="0" maxValue="7190"/>
    </cacheField>
    <cacheField name="Waste production - Compost (kg)" numFmtId="0">
      <sharedItems containsString="0" containsBlank="1" containsNumber="1" minValue="0" maxValue="1970"/>
    </cacheField>
    <cacheField name="Waste production - Recycling (kg)" numFmtId="0">
      <sharedItems containsString="0" containsBlank="1" containsNumber="1" minValue="0" maxValue="56240"/>
    </cacheField>
    <cacheField name="Waste - Total production (kg)" numFmtId="0">
      <sharedItems containsSemiMixedTypes="0" containsString="0" containsNumber="1" minValue="0" maxValue="56240"/>
    </cacheField>
    <cacheField name="Waste hazardousness" numFmtId="0">
      <sharedItems containsBlank="1"/>
    </cacheField>
    <cacheField name="Month #" numFmtId="1">
      <sharedItems containsString="0" containsBlank="1" containsNumber="1" containsInteger="1" minValue="1" maxValue="12"/>
    </cacheField>
    <cacheField name="Month" numFmtId="0">
      <sharedItems containsDate="1" containsMixedTypes="1" minDate="2025-01-01T00:00:00" maxDate="2025-12-02T00:00:00" count="25">
        <s v="01-Jan"/>
        <s v="02-Feb"/>
        <s v="03-Mar"/>
        <s v="04-Apr"/>
        <s v="05-May"/>
        <s v="06-Jun"/>
        <s v="07-Jul"/>
        <s v="08-Aug"/>
        <s v="09-Sep"/>
        <s v="10-Oct"/>
        <s v="11-Nov"/>
        <s v="12-Dec"/>
        <e v="#NUM!" u="1"/>
        <d v="2025-01-01T00:00:00" u="1"/>
        <d v="2025-02-01T00:00:00" u="1"/>
        <d v="2025-03-01T00:00:00" u="1"/>
        <d v="2025-04-01T00:00:00" u="1"/>
        <d v="2025-05-01T00:00:00" u="1"/>
        <d v="2025-06-01T00:00:00" u="1"/>
        <d v="2025-07-01T00:00:00" u="1"/>
        <d v="2025-08-01T00:00:00" u="1"/>
        <d v="2025-09-01T00:00:00" u="1"/>
        <d v="2025-10-01T00:00:00" u="1"/>
        <d v="2025-11-01T00:00:00" u="1"/>
        <d v="2025-12-01T00:00:00"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183.399422685186" createdVersion="8" refreshedVersion="8" minRefreshableVersion="3" recordCount="1451" xr:uid="{78996AC0-5FD9-4258-89CC-3BEDEAC4B385}">
  <cacheSource type="worksheet">
    <worksheetSource ref="A2:E1453" sheet="2025 Raw Water" r:id="rId2"/>
  </cacheSource>
  <cacheFields count="5">
    <cacheField name="Building name" numFmtId="0">
      <sharedItems count="18">
        <s v="1 Windmill Lane"/>
        <s v="2 Windmill Lane"/>
        <s v="50 City Quay"/>
        <s v="1 Cumberland Place"/>
        <s v="2 Cumberland Place"/>
        <s v="Dundrum View"/>
        <s v="One Earlsfort Terrace"/>
        <s v="Hardwicke House"/>
        <s v="Montague House"/>
        <s v="Gateway"/>
        <s v="The Observatory"/>
        <s v="Portview House"/>
        <s v="Hannover Mills"/>
        <s v="1 Sir John Rogerson Quay"/>
        <s v="SOBO Works"/>
        <s v="South Dock House"/>
        <s v="Wyckham Place"/>
        <s v="Central Quay"/>
      </sharedItems>
    </cacheField>
    <cacheField name="Meter name" numFmtId="0">
      <sharedItems/>
    </cacheField>
    <cacheField name="Utility" numFmtId="0">
      <sharedItems/>
    </cacheField>
    <cacheField name="Date" numFmtId="0">
      <sharedItems count="12">
        <s v="2025-01-01"/>
        <s v="2025-02-01"/>
        <s v="2025-03-01"/>
        <s v="2025-04-01"/>
        <s v="2025-05-01"/>
        <s v="2025-06-01"/>
        <s v="2025-07-01"/>
        <s v="2025-08-01"/>
        <s v="2025-09-01"/>
        <s v="2025-10-01"/>
        <s v="2025-11-01"/>
        <s v="2025-12-01"/>
      </sharedItems>
    </cacheField>
    <cacheField name="Actual + gap-filled consumption (volume) (m³)" numFmtId="0">
      <sharedItems containsString="0" containsBlank="1" containsNumber="1" minValue="0.59000000357627802" maxValue="57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1">
  <r>
    <x v="0"/>
    <s v="Hibernia0001_organic_waste"/>
    <s v="Waste"/>
    <x v="0"/>
    <n v="0"/>
    <n v="237.99999803304601"/>
    <n v="0"/>
    <n v="237.99999803304601"/>
    <s v="Non-hazardous waste"/>
    <n v="1"/>
    <x v="0"/>
  </r>
  <r>
    <x v="0"/>
    <s v="Hibernia0001_organic_waste"/>
    <s v="Waste"/>
    <x v="0"/>
    <n v="0"/>
    <n v="133.99999961256901"/>
    <n v="0"/>
    <n v="133.99999961256901"/>
    <s v="Non-hazardous waste"/>
    <n v="2"/>
    <x v="1"/>
  </r>
  <r>
    <x v="0"/>
    <s v="Hibernia0001_organic_waste"/>
    <s v="Waste"/>
    <x v="0"/>
    <n v="0"/>
    <n v="107.999995350837"/>
    <n v="0"/>
    <n v="107.999995350837"/>
    <s v="Non-hazardous waste"/>
    <n v="3"/>
    <x v="2"/>
  </r>
  <r>
    <x v="0"/>
    <s v="Hibernia0001_organic_waste"/>
    <s v="Waste"/>
    <x v="0"/>
    <n v="0"/>
    <n v="257.99999386072102"/>
    <n v="0"/>
    <n v="257.99999386072102"/>
    <s v="Non-hazardous waste"/>
    <n v="4"/>
    <x v="3"/>
  </r>
  <r>
    <x v="0"/>
    <s v="Hibernia0001_organic_waste"/>
    <s v="Waste"/>
    <x v="0"/>
    <n v="0"/>
    <n v="170.99999636411599"/>
    <n v="0"/>
    <n v="170.99999636411599"/>
    <s v="Non-hazardous waste"/>
    <n v="5"/>
    <x v="4"/>
  </r>
  <r>
    <x v="0"/>
    <s v="Hibernia0001_organic_waste"/>
    <s v="Waste"/>
    <x v="0"/>
    <n v="0"/>
    <n v="258.00000131130201"/>
    <n v="0"/>
    <n v="258.00000131130201"/>
    <s v="Non-hazardous waste"/>
    <n v="6"/>
    <x v="5"/>
  </r>
  <r>
    <x v="0"/>
    <s v="Hibernia0001_organic_waste"/>
    <s v="Waste"/>
    <x v="0"/>
    <n v="0"/>
    <n v="128.99999320507001"/>
    <n v="0"/>
    <n v="128.99999320507001"/>
    <s v="Non-hazardous waste"/>
    <n v="7"/>
    <x v="6"/>
  </r>
  <r>
    <x v="0"/>
    <s v="Hibernia0001_organic_waste"/>
    <s v="Waste"/>
    <x v="0"/>
    <n v="0"/>
    <n v="342.00000762939402"/>
    <n v="0"/>
    <n v="342.00000762939402"/>
    <s v="Non-hazardous waste"/>
    <n v="8"/>
    <x v="7"/>
  </r>
  <r>
    <x v="0"/>
    <s v="Hibernia0001_organic_waste"/>
    <s v="Waste"/>
    <x v="0"/>
    <n v="0"/>
    <n v="318.00000369548798"/>
    <n v="0"/>
    <n v="318.00000369548798"/>
    <s v="Non-hazardous waste"/>
    <n v="9"/>
    <x v="8"/>
  </r>
  <r>
    <x v="0"/>
    <s v="Hibernia0001_organic_waste"/>
    <s v="Waste"/>
    <x v="0"/>
    <n v="0"/>
    <n v="245.999999344348"/>
    <n v="0"/>
    <n v="245.999999344348"/>
    <s v="Non-hazardous waste"/>
    <n v="10"/>
    <x v="9"/>
  </r>
  <r>
    <x v="0"/>
    <s v="Hibernia0001_organic_waste"/>
    <s v="Waste"/>
    <x v="0"/>
    <n v="0"/>
    <n v="302.99998819827999"/>
    <n v="0"/>
    <n v="302.99998819827999"/>
    <s v="Non-hazardous waste"/>
    <n v="11"/>
    <x v="10"/>
  </r>
  <r>
    <x v="0"/>
    <s v="Hibernia0001_organic_waste"/>
    <s v="Waste"/>
    <x v="0"/>
    <n v="0"/>
    <n v="115.999996662139"/>
    <n v="0"/>
    <n v="115.999996662139"/>
    <s v="Non-hazardous waste"/>
    <n v="12"/>
    <x v="11"/>
  </r>
  <r>
    <x v="0"/>
    <s v="Hibernia0001_dry_mixed_recycling"/>
    <s v="Waste"/>
    <x v="1"/>
    <n v="0"/>
    <n v="0"/>
    <n v="1125.80700218677"/>
    <n v="1125.80700218677"/>
    <s v="Non-hazardous waste"/>
    <n v="1"/>
    <x v="0"/>
  </r>
  <r>
    <x v="0"/>
    <s v="Hibernia0001_dry_mixed_recycling"/>
    <s v="Waste"/>
    <x v="1"/>
    <n v="0"/>
    <n v="0"/>
    <n v="1598.1073062866899"/>
    <n v="1598.1073062866899"/>
    <s v="Non-hazardous waste"/>
    <n v="2"/>
    <x v="1"/>
  </r>
  <r>
    <x v="0"/>
    <s v="Hibernia0001_dry_mixed_recycling"/>
    <s v="Waste"/>
    <x v="1"/>
    <n v="0"/>
    <n v="0"/>
    <n v="1051.458414644"/>
    <n v="1051.458414644"/>
    <s v="Non-hazardous waste"/>
    <n v="3"/>
    <x v="2"/>
  </r>
  <r>
    <x v="0"/>
    <s v="Hibernia0001_dry_mixed_recycling"/>
    <s v="Waste"/>
    <x v="1"/>
    <n v="0"/>
    <n v="0"/>
    <n v="1365.02051353454"/>
    <n v="1365.02051353454"/>
    <s v="Non-hazardous waste"/>
    <n v="4"/>
    <x v="3"/>
  </r>
  <r>
    <x v="0"/>
    <s v="Hibernia0001_dry_mixed_recycling"/>
    <s v="Waste"/>
    <x v="1"/>
    <n v="0"/>
    <n v="0"/>
    <n v="1562.0729401707599"/>
    <n v="1562.0729401707599"/>
    <s v="Non-hazardous waste"/>
    <n v="5"/>
    <x v="4"/>
  </r>
  <r>
    <x v="0"/>
    <s v="Hibernia0001_dry_mixed_recycling"/>
    <s v="Waste"/>
    <x v="1"/>
    <n v="0"/>
    <n v="0"/>
    <n v="814.98909741639989"/>
    <n v="814.98909741639989"/>
    <s v="Non-hazardous waste"/>
    <n v="6"/>
    <x v="5"/>
  </r>
  <r>
    <x v="0"/>
    <s v="Hibernia0001_dry_mixed_recycling"/>
    <s v="Waste"/>
    <x v="1"/>
    <n v="0"/>
    <n v="0"/>
    <n v="1530.22470511496"/>
    <n v="1530.22470511496"/>
    <s v="Non-hazardous waste"/>
    <n v="7"/>
    <x v="6"/>
  </r>
  <r>
    <x v="0"/>
    <s v="Hibernia0001_dry_mixed_recycling"/>
    <s v="Waste"/>
    <x v="1"/>
    <n v="0"/>
    <n v="0"/>
    <n v="1336.0947333276199"/>
    <n v="1336.0947333276199"/>
    <s v="Non-hazardous waste"/>
    <n v="8"/>
    <x v="7"/>
  </r>
  <r>
    <x v="0"/>
    <s v="Hibernia0001_dry_mixed_recycling"/>
    <s v="Waste"/>
    <x v="1"/>
    <n v="0"/>
    <n v="0"/>
    <n v="1536.2496078014301"/>
    <n v="1536.2496078014301"/>
    <s v="Non-hazardous waste"/>
    <n v="9"/>
    <x v="8"/>
  </r>
  <r>
    <x v="0"/>
    <s v="Hibernia0001_dry_mixed_recycling"/>
    <s v="Waste"/>
    <x v="1"/>
    <n v="0"/>
    <n v="0"/>
    <n v="1744.66025829315"/>
    <n v="1744.66025829315"/>
    <s v="Non-hazardous waste"/>
    <n v="10"/>
    <x v="9"/>
  </r>
  <r>
    <x v="0"/>
    <s v="Hibernia0001_dry_mixed_recycling"/>
    <s v="Waste"/>
    <x v="1"/>
    <n v="0"/>
    <n v="0"/>
    <n v="1845.62351554632"/>
    <n v="1845.62351554632"/>
    <s v="Non-hazardous waste"/>
    <n v="11"/>
    <x v="10"/>
  </r>
  <r>
    <x v="0"/>
    <s v="Hibernia0001_dry_mixed_recycling"/>
    <s v="Waste"/>
    <x v="1"/>
    <n v="0"/>
    <n v="0"/>
    <n v="1100.87002255022"/>
    <n v="1100.87002255022"/>
    <s v="Non-hazardous waste"/>
    <n v="12"/>
    <x v="11"/>
  </r>
  <r>
    <x v="0"/>
    <s v="Hibernia0001_commercial_and_industrial_waste"/>
    <s v="Waste"/>
    <x v="2"/>
    <n v="858.60000178217797"/>
    <n v="0"/>
    <n v="0"/>
    <n v="858.60000178217797"/>
    <s v="Non-hazardous waste"/>
    <n v="1"/>
    <x v="0"/>
  </r>
  <r>
    <x v="0"/>
    <s v="Hibernia0001_commercial_and_industrial_waste"/>
    <s v="Waste"/>
    <x v="2"/>
    <n v="1188.6886917054601"/>
    <n v="0"/>
    <n v="0"/>
    <n v="1188.6886917054601"/>
    <s v="Non-hazardous waste"/>
    <n v="2"/>
    <x v="1"/>
  </r>
  <r>
    <x v="0"/>
    <s v="Hibernia0001_commercial_and_industrial_waste"/>
    <s v="Waste"/>
    <x v="2"/>
    <n v="1309.9273927509701"/>
    <n v="0"/>
    <n v="0"/>
    <n v="1309.9273927509701"/>
    <s v="Non-hazardous waste"/>
    <n v="3"/>
    <x v="2"/>
  </r>
  <r>
    <x v="0"/>
    <s v="Hibernia0001_commercial_and_industrial_waste"/>
    <s v="Waste"/>
    <x v="2"/>
    <n v="1400.6135873496501"/>
    <n v="0"/>
    <n v="0"/>
    <n v="1400.6135873496501"/>
    <s v="Non-hazardous waste"/>
    <n v="4"/>
    <x v="3"/>
  </r>
  <r>
    <x v="0"/>
    <s v="Hibernia0001_commercial_and_industrial_waste"/>
    <s v="Waste"/>
    <x v="2"/>
    <n v="1021.11110463738"/>
    <n v="0"/>
    <n v="0"/>
    <n v="1021.11110463738"/>
    <s v="Non-hazardous waste"/>
    <n v="5"/>
    <x v="4"/>
  </r>
  <r>
    <x v="0"/>
    <s v="Hibernia0001_commercial_and_industrial_waste"/>
    <s v="Waste"/>
    <x v="2"/>
    <n v="1059.48292091488"/>
    <n v="0"/>
    <n v="0"/>
    <n v="1059.48292091488"/>
    <s v="Non-hazardous waste"/>
    <n v="6"/>
    <x v="5"/>
  </r>
  <r>
    <x v="0"/>
    <s v="Hibernia0001_commercial_and_industrial_waste"/>
    <s v="Waste"/>
    <x v="2"/>
    <n v="1050.3100920468501"/>
    <n v="0"/>
    <n v="0"/>
    <n v="1050.3100920468501"/>
    <s v="Non-hazardous waste"/>
    <n v="7"/>
    <x v="6"/>
  </r>
  <r>
    <x v="0"/>
    <s v="Hibernia0001_commercial_and_industrial_waste"/>
    <s v="Waste"/>
    <x v="2"/>
    <n v="718.10489706695"/>
    <n v="0"/>
    <n v="0"/>
    <n v="718.10489706695"/>
    <s v="Non-hazardous waste"/>
    <n v="8"/>
    <x v="7"/>
  </r>
  <r>
    <x v="0"/>
    <s v="Hibernia0001_commercial_and_industrial_waste"/>
    <s v="Waste"/>
    <x v="2"/>
    <n v="1153.0000045895499"/>
    <n v="0"/>
    <n v="0"/>
    <n v="1153.0000045895499"/>
    <s v="Non-hazardous waste"/>
    <n v="9"/>
    <x v="8"/>
  </r>
  <r>
    <x v="0"/>
    <s v="Hibernia0001_commercial_and_industrial_waste"/>
    <s v="Waste"/>
    <x v="2"/>
    <n v="940.14999642968098"/>
    <n v="0"/>
    <n v="0"/>
    <n v="940.14999642968098"/>
    <s v="Non-hazardous waste"/>
    <n v="10"/>
    <x v="9"/>
  </r>
  <r>
    <x v="0"/>
    <s v="Hibernia0001_commercial_and_industrial_waste"/>
    <s v="Waste"/>
    <x v="2"/>
    <n v="1065.62510132789"/>
    <n v="0"/>
    <n v="0"/>
    <n v="1065.62510132789"/>
    <s v="Non-hazardous waste"/>
    <n v="11"/>
    <x v="10"/>
  </r>
  <r>
    <x v="0"/>
    <s v="Hibernia0001_commercial_and_industrial_waste"/>
    <s v="Waste"/>
    <x v="2"/>
    <n v="911.68380528688397"/>
    <n v="0"/>
    <n v="0"/>
    <n v="911.68380528688397"/>
    <s v="Non-hazardous waste"/>
    <n v="12"/>
    <x v="11"/>
  </r>
  <r>
    <x v="1"/>
    <s v="Hibernia0002_organic_waste"/>
    <s v="Waste"/>
    <x v="0"/>
    <n v="0"/>
    <n v="183.999996632337"/>
    <n v="0"/>
    <n v="183.999996632337"/>
    <s v="Non-hazardous waste"/>
    <n v="1"/>
    <x v="0"/>
  </r>
  <r>
    <x v="1"/>
    <s v="Hibernia0002_organic_waste"/>
    <s v="Waste"/>
    <x v="0"/>
    <n v="0"/>
    <n v="368.000000715255"/>
    <n v="0"/>
    <n v="368.000000715255"/>
    <s v="Non-hazardous waste"/>
    <n v="2"/>
    <x v="1"/>
  </r>
  <r>
    <x v="1"/>
    <s v="Hibernia0002_organic_waste"/>
    <s v="Waste"/>
    <x v="0"/>
    <n v="0"/>
    <n v="349.99999403953501"/>
    <n v="0"/>
    <n v="349.99999403953501"/>
    <s v="Non-hazardous waste"/>
    <n v="3"/>
    <x v="2"/>
  </r>
  <r>
    <x v="1"/>
    <s v="Hibernia0002_organic_waste"/>
    <s v="Waste"/>
    <x v="0"/>
    <n v="0"/>
    <n v="371.99998646974501"/>
    <n v="0"/>
    <n v="371.99998646974501"/>
    <s v="Non-hazardous waste"/>
    <n v="4"/>
    <x v="3"/>
  </r>
  <r>
    <x v="1"/>
    <s v="Hibernia0002_organic_waste"/>
    <s v="Waste"/>
    <x v="0"/>
    <n v="0"/>
    <n v="313.33329528570101"/>
    <n v="0"/>
    <n v="313.33329528570101"/>
    <s v="Non-hazardous waste"/>
    <n v="5"/>
    <x v="4"/>
  </r>
  <r>
    <x v="1"/>
    <s v="Hibernia0002_organic_waste"/>
    <s v="Waste"/>
    <x v="0"/>
    <n v="0"/>
    <n v="269.99999582767401"/>
    <n v="0"/>
    <n v="269.99999582767401"/>
    <s v="Non-hazardous waste"/>
    <n v="6"/>
    <x v="5"/>
  </r>
  <r>
    <x v="1"/>
    <s v="Hibernia0002_organic_waste"/>
    <s v="Waste"/>
    <x v="0"/>
    <n v="0"/>
    <n v="514.00001347064904"/>
    <n v="0"/>
    <n v="514.00001347064904"/>
    <s v="Non-hazardous waste"/>
    <n v="7"/>
    <x v="6"/>
  </r>
  <r>
    <x v="1"/>
    <s v="Hibernia0002_organic_waste"/>
    <s v="Waste"/>
    <x v="0"/>
    <n v="0"/>
    <n v="155.99999576806999"/>
    <n v="0"/>
    <n v="155.99999576806999"/>
    <s v="Non-hazardous waste"/>
    <n v="8"/>
    <x v="7"/>
  </r>
  <r>
    <x v="1"/>
    <s v="Hibernia0002_organic_waste"/>
    <s v="Waste"/>
    <x v="0"/>
    <n v="0"/>
    <n v="260.00000536441797"/>
    <n v="0"/>
    <n v="260.00000536441797"/>
    <s v="Non-hazardous waste"/>
    <n v="9"/>
    <x v="8"/>
  </r>
  <r>
    <x v="1"/>
    <s v="Hibernia0002_organic_waste"/>
    <s v="Waste"/>
    <x v="0"/>
    <n v="0"/>
    <n v="574.00000095367398"/>
    <n v="0"/>
    <n v="574.00000095367398"/>
    <s v="Non-hazardous waste"/>
    <n v="10"/>
    <x v="9"/>
  </r>
  <r>
    <x v="1"/>
    <s v="Hibernia0002_organic_waste"/>
    <s v="Waste"/>
    <x v="0"/>
    <n v="0"/>
    <n v="254.00000065565101"/>
    <n v="0"/>
    <n v="254.00000065565101"/>
    <s v="Non-hazardous waste"/>
    <n v="11"/>
    <x v="10"/>
  </r>
  <r>
    <x v="1"/>
    <s v="Hibernia0002_organic_waste"/>
    <s v="Waste"/>
    <x v="0"/>
    <n v="0"/>
    <n v="370.00000476837101"/>
    <n v="0"/>
    <n v="370.00000476837101"/>
    <s v="Non-hazardous waste"/>
    <n v="12"/>
    <x v="11"/>
  </r>
  <r>
    <x v="1"/>
    <s v="Hibernia0002_dry_mixed_recycling"/>
    <s v="Waste"/>
    <x v="1"/>
    <n v="0"/>
    <n v="0"/>
    <n v="179.98149991035399"/>
    <n v="179.98149991035399"/>
    <s v="Non-hazardous waste"/>
    <n v="1"/>
    <x v="0"/>
  </r>
  <r>
    <x v="1"/>
    <s v="Hibernia0002_dry_mixed_recycling"/>
    <s v="Waste"/>
    <x v="1"/>
    <n v="0"/>
    <n v="0"/>
    <n v="149.749998003244"/>
    <n v="149.749998003244"/>
    <s v="Non-hazardous waste"/>
    <n v="2"/>
    <x v="1"/>
  </r>
  <r>
    <x v="1"/>
    <s v="Hibernia0002_dry_mixed_recycling"/>
    <s v="Waste"/>
    <x v="1"/>
    <n v="0"/>
    <n v="0"/>
    <n v="265.81249944865698"/>
    <n v="265.81249944865698"/>
    <s v="Non-hazardous waste"/>
    <n v="3"/>
    <x v="2"/>
  </r>
  <r>
    <x v="1"/>
    <s v="Hibernia0002_dry_mixed_recycling"/>
    <s v="Waste"/>
    <x v="1"/>
    <n v="0"/>
    <n v="0"/>
    <n v="453.00000160932501"/>
    <n v="453.00000160932501"/>
    <s v="Non-hazardous waste"/>
    <n v="4"/>
    <x v="3"/>
  </r>
  <r>
    <x v="1"/>
    <s v="Hibernia0002_dry_mixed_recycling"/>
    <s v="Waste"/>
    <x v="1"/>
    <n v="0"/>
    <n v="0"/>
    <n v="461.56251057982399"/>
    <n v="461.56251057982399"/>
    <s v="Non-hazardous waste"/>
    <n v="5"/>
    <x v="4"/>
  </r>
  <r>
    <x v="1"/>
    <s v="Hibernia0002_dry_mixed_recycling"/>
    <s v="Waste"/>
    <x v="1"/>
    <n v="0"/>
    <n v="0"/>
    <n v="220.00000253319701"/>
    <n v="220.00000253319701"/>
    <s v="Non-hazardous waste"/>
    <n v="6"/>
    <x v="5"/>
  </r>
  <r>
    <x v="1"/>
    <s v="Hibernia0002_dry_mixed_recycling"/>
    <s v="Waste"/>
    <x v="1"/>
    <n v="0"/>
    <n v="0"/>
    <n v="500.72669237852102"/>
    <n v="500.72669237852102"/>
    <s v="Non-hazardous waste"/>
    <n v="7"/>
    <x v="6"/>
  </r>
  <r>
    <x v="1"/>
    <s v="Hibernia0002_dry_mixed_recycling"/>
    <s v="Waste"/>
    <x v="1"/>
    <n v="0"/>
    <n v="0"/>
    <n v="284.20020639896302"/>
    <n v="284.20020639896302"/>
    <s v="Non-hazardous waste"/>
    <n v="8"/>
    <x v="7"/>
  </r>
  <r>
    <x v="1"/>
    <s v="Hibernia0002_dry_mixed_recycling"/>
    <s v="Waste"/>
    <x v="1"/>
    <n v="0"/>
    <n v="0"/>
    <n v="310.054503381252"/>
    <n v="310.054503381252"/>
    <s v="Non-hazardous waste"/>
    <n v="9"/>
    <x v="8"/>
  </r>
  <r>
    <x v="1"/>
    <s v="Hibernia0002_dry_mixed_recycling"/>
    <s v="Waste"/>
    <x v="1"/>
    <n v="0"/>
    <n v="0"/>
    <n v="323.39200004935202"/>
    <n v="323.39200004935202"/>
    <s v="Non-hazardous waste"/>
    <n v="10"/>
    <x v="9"/>
  </r>
  <r>
    <x v="1"/>
    <s v="Hibernia0002_dry_mixed_recycling"/>
    <s v="Waste"/>
    <x v="1"/>
    <n v="0"/>
    <n v="0"/>
    <n v="372.32060171663699"/>
    <n v="372.32060171663699"/>
    <s v="Non-hazardous waste"/>
    <n v="11"/>
    <x v="10"/>
  </r>
  <r>
    <x v="1"/>
    <s v="Hibernia0002_dry_mixed_recycling"/>
    <s v="Waste"/>
    <x v="1"/>
    <n v="0"/>
    <n v="0"/>
    <n v="188.72979842126301"/>
    <n v="188.72979842126301"/>
    <s v="Non-hazardous waste"/>
    <n v="12"/>
    <x v="11"/>
  </r>
  <r>
    <x v="1"/>
    <s v="Hibernia0002_commercial_and_industrial_waste"/>
    <s v="Waste"/>
    <x v="2"/>
    <n v="187.99999728798801"/>
    <n v="0"/>
    <n v="0"/>
    <n v="187.99999728798801"/>
    <s v="Non-hazardous waste"/>
    <n v="1"/>
    <x v="0"/>
  </r>
  <r>
    <x v="1"/>
    <s v="Hibernia0002_commercial_and_industrial_waste"/>
    <s v="Waste"/>
    <x v="2"/>
    <n v="226.500002667307"/>
    <n v="0"/>
    <n v="0"/>
    <n v="226.500002667307"/>
    <s v="Non-hazardous waste"/>
    <n v="2"/>
    <x v="1"/>
  </r>
  <r>
    <x v="1"/>
    <s v="Hibernia0002_commercial_and_industrial_waste"/>
    <s v="Waste"/>
    <x v="2"/>
    <n v="316.999994218349"/>
    <n v="0"/>
    <n v="0"/>
    <n v="316.999994218349"/>
    <s v="Non-hazardous waste"/>
    <n v="3"/>
    <x v="2"/>
  </r>
  <r>
    <x v="1"/>
    <s v="Hibernia0002_commercial_and_industrial_waste"/>
    <s v="Waste"/>
    <x v="2"/>
    <n v="304.99999970197598"/>
    <n v="0"/>
    <n v="0"/>
    <n v="304.99999970197598"/>
    <s v="Non-hazardous waste"/>
    <n v="4"/>
    <x v="3"/>
  </r>
  <r>
    <x v="1"/>
    <s v="Hibernia0002_commercial_and_industrial_waste"/>
    <s v="Waste"/>
    <x v="2"/>
    <n v="233.75000711530399"/>
    <n v="0"/>
    <n v="0"/>
    <n v="233.75000711530399"/>
    <s v="Non-hazardous waste"/>
    <n v="5"/>
    <x v="4"/>
  </r>
  <r>
    <x v="1"/>
    <s v="Hibernia0002_commercial_and_industrial_waste"/>
    <s v="Waste"/>
    <x v="2"/>
    <n v="239.18750137090601"/>
    <n v="0"/>
    <n v="0"/>
    <n v="239.18750137090601"/>
    <s v="Non-hazardous waste"/>
    <n v="6"/>
    <x v="5"/>
  </r>
  <r>
    <x v="1"/>
    <s v="Hibernia0002_commercial_and_industrial_waste"/>
    <s v="Waste"/>
    <x v="2"/>
    <n v="430.72610348463002"/>
    <n v="0"/>
    <n v="0"/>
    <n v="430.72610348463002"/>
    <s v="Non-hazardous waste"/>
    <n v="7"/>
    <x v="6"/>
  </r>
  <r>
    <x v="1"/>
    <s v="Hibernia0002_commercial_and_industrial_waste"/>
    <s v="Waste"/>
    <x v="2"/>
    <n v="195.17740607261601"/>
    <n v="0"/>
    <n v="0"/>
    <n v="195.17740607261601"/>
    <s v="Non-hazardous waste"/>
    <n v="8"/>
    <x v="7"/>
  </r>
  <r>
    <x v="1"/>
    <s v="Hibernia0002_commercial_and_industrial_waste"/>
    <s v="Waste"/>
    <x v="2"/>
    <n v="241.999994963407"/>
    <n v="0"/>
    <n v="0"/>
    <n v="241.999994963407"/>
    <s v="Non-hazardous waste"/>
    <n v="9"/>
    <x v="8"/>
  </r>
  <r>
    <x v="1"/>
    <s v="Hibernia0002_commercial_and_industrial_waste"/>
    <s v="Waste"/>
    <x v="2"/>
    <n v="320.00001147389401"/>
    <n v="0"/>
    <n v="0"/>
    <n v="320.00001147389401"/>
    <s v="Non-hazardous waste"/>
    <n v="10"/>
    <x v="9"/>
  </r>
  <r>
    <x v="1"/>
    <s v="Hibernia0002_commercial_and_industrial_waste"/>
    <s v="Waste"/>
    <x v="2"/>
    <n v="303.00000123679598"/>
    <n v="0"/>
    <n v="0"/>
    <n v="303.00000123679598"/>
    <s v="Non-hazardous waste"/>
    <n v="11"/>
    <x v="10"/>
  </r>
  <r>
    <x v="1"/>
    <s v="Hibernia0002_commercial_and_industrial_waste"/>
    <s v="Waste"/>
    <x v="2"/>
    <n v="408.99999998509799"/>
    <n v="0"/>
    <n v="0"/>
    <n v="408.99999998509799"/>
    <s v="Non-hazardous waste"/>
    <n v="12"/>
    <x v="11"/>
  </r>
  <r>
    <x v="2"/>
    <s v="Hibernia0007_organic_waste"/>
    <s v="Waste"/>
    <x v="0"/>
    <n v="0"/>
    <n v="86.999999824911299"/>
    <n v="0"/>
    <n v="86.999999824911299"/>
    <s v="Non-hazardous waste"/>
    <n v="1"/>
    <x v="0"/>
  </r>
  <r>
    <x v="2"/>
    <s v="Hibernia0007_organic_waste"/>
    <s v="Waste"/>
    <x v="0"/>
    <n v="0"/>
    <n v="128.000000026077"/>
    <n v="0"/>
    <n v="128.000000026077"/>
    <s v="Non-hazardous waste"/>
    <n v="2"/>
    <x v="1"/>
  </r>
  <r>
    <x v="2"/>
    <s v="Hibernia0007_organic_waste"/>
    <s v="Waste"/>
    <x v="0"/>
    <n v="0"/>
    <n v="172.500003129243"/>
    <n v="0"/>
    <n v="172.500003129243"/>
    <s v="Non-hazardous waste"/>
    <n v="3"/>
    <x v="2"/>
  </r>
  <r>
    <x v="2"/>
    <s v="Hibernia0007_organic_waste"/>
    <s v="Waste"/>
    <x v="0"/>
    <n v="0"/>
    <n v="150.000000372529"/>
    <n v="0"/>
    <n v="150.000000372529"/>
    <s v="Non-hazardous waste"/>
    <n v="4"/>
    <x v="3"/>
  </r>
  <r>
    <x v="2"/>
    <s v="Hibernia0007_organic_waste"/>
    <s v="Waste"/>
    <x v="0"/>
    <n v="0"/>
    <n v="112.73610033094801"/>
    <n v="0"/>
    <n v="112.73610033094801"/>
    <s v="Non-hazardous waste"/>
    <n v="5"/>
    <x v="4"/>
  </r>
  <r>
    <x v="2"/>
    <s v="Hibernia0007_organic_waste"/>
    <s v="Waste"/>
    <x v="0"/>
    <n v="0"/>
    <n v="84.5000008121132"/>
    <n v="0"/>
    <n v="84.5000008121132"/>
    <s v="Non-hazardous waste"/>
    <n v="6"/>
    <x v="5"/>
  </r>
  <r>
    <x v="2"/>
    <s v="Hibernia0007_organic_waste"/>
    <s v="Waste"/>
    <x v="0"/>
    <n v="0"/>
    <n v="115.54690124467"/>
    <n v="0"/>
    <n v="115.54690124467"/>
    <s v="Non-hazardous waste"/>
    <n v="7"/>
    <x v="6"/>
  </r>
  <r>
    <x v="2"/>
    <s v="Hibernia0007_organic_waste"/>
    <s v="Waste"/>
    <x v="0"/>
    <n v="0"/>
    <n v="52.000000083353299"/>
    <n v="0"/>
    <n v="52.000000083353299"/>
    <s v="Non-hazardous waste"/>
    <n v="8"/>
    <x v="7"/>
  </r>
  <r>
    <x v="2"/>
    <s v="Hibernia0007_organic_waste"/>
    <s v="Waste"/>
    <x v="0"/>
    <n v="0"/>
    <n v="110.374998301267"/>
    <n v="0"/>
    <n v="110.374998301267"/>
    <s v="Non-hazardous waste"/>
    <n v="9"/>
    <x v="8"/>
  </r>
  <r>
    <x v="2"/>
    <s v="Hibernia0007_organic_waste"/>
    <s v="Waste"/>
    <x v="0"/>
    <n v="0"/>
    <n v="103.00000058486999"/>
    <n v="0"/>
    <n v="103.00000058486999"/>
    <s v="Non-hazardous waste"/>
    <n v="10"/>
    <x v="9"/>
  </r>
  <r>
    <x v="2"/>
    <s v="Hibernia0007_organic_waste"/>
    <s v="Waste"/>
    <x v="0"/>
    <n v="0"/>
    <n v="171.99999839067399"/>
    <n v="0"/>
    <n v="171.99999839067399"/>
    <s v="Non-hazardous waste"/>
    <n v="11"/>
    <x v="10"/>
  </r>
  <r>
    <x v="2"/>
    <s v="Hibernia0007_organic_waste"/>
    <s v="Waste"/>
    <x v="0"/>
    <n v="0"/>
    <n v="118.312500417232"/>
    <n v="0"/>
    <n v="118.312500417232"/>
    <s v="Non-hazardous waste"/>
    <n v="12"/>
    <x v="11"/>
  </r>
  <r>
    <x v="2"/>
    <s v="Hibernia0007_dry_mixed_recycling"/>
    <s v="Waste"/>
    <x v="1"/>
    <n v="0"/>
    <n v="0"/>
    <n v="1952.48855091631"/>
    <n v="1952.48855091631"/>
    <s v="Non-hazardous waste"/>
    <n v="1"/>
    <x v="0"/>
  </r>
  <r>
    <x v="2"/>
    <s v="Hibernia0007_dry_mixed_recycling"/>
    <s v="Waste"/>
    <x v="1"/>
    <n v="0"/>
    <n v="0"/>
    <n v="2090.9696510061599"/>
    <n v="2090.9696510061599"/>
    <s v="Non-hazardous waste"/>
    <n v="2"/>
    <x v="1"/>
  </r>
  <r>
    <x v="2"/>
    <s v="Hibernia0007_dry_mixed_recycling"/>
    <s v="Waste"/>
    <x v="1"/>
    <n v="0"/>
    <n v="0"/>
    <n v="1641.44573488738"/>
    <n v="1641.44573488738"/>
    <s v="Non-hazardous waste"/>
    <n v="3"/>
    <x v="2"/>
  </r>
  <r>
    <x v="2"/>
    <s v="Hibernia0007_dry_mixed_recycling"/>
    <s v="Waste"/>
    <x v="1"/>
    <n v="0"/>
    <n v="0"/>
    <n v="1590.0000389665299"/>
    <n v="1590.0000389665299"/>
    <s v="Non-hazardous waste"/>
    <n v="4"/>
    <x v="3"/>
  </r>
  <r>
    <x v="2"/>
    <s v="Hibernia0007_dry_mixed_recycling"/>
    <s v="Waste"/>
    <x v="1"/>
    <n v="0"/>
    <n v="0"/>
    <n v="1573.83328676223"/>
    <n v="1573.83328676223"/>
    <s v="Non-hazardous waste"/>
    <n v="5"/>
    <x v="4"/>
  </r>
  <r>
    <x v="2"/>
    <s v="Hibernia0007_dry_mixed_recycling"/>
    <s v="Waste"/>
    <x v="1"/>
    <n v="0"/>
    <n v="0"/>
    <n v="1602.38574538379"/>
    <n v="1602.38574538379"/>
    <s v="Non-hazardous waste"/>
    <n v="6"/>
    <x v="5"/>
  </r>
  <r>
    <x v="2"/>
    <s v="Hibernia0007_dry_mixed_recycling"/>
    <s v="Waste"/>
    <x v="1"/>
    <n v="0"/>
    <n v="0"/>
    <n v="1721.9375446438701"/>
    <n v="1721.9375446438701"/>
    <s v="Non-hazardous waste"/>
    <n v="7"/>
    <x v="6"/>
  </r>
  <r>
    <x v="2"/>
    <s v="Hibernia0007_dry_mixed_recycling"/>
    <s v="Waste"/>
    <x v="1"/>
    <n v="0"/>
    <n v="0"/>
    <n v="1462.5624362379299"/>
    <n v="1462.5624362379299"/>
    <s v="Non-hazardous waste"/>
    <n v="8"/>
    <x v="7"/>
  </r>
  <r>
    <x v="2"/>
    <s v="Hibernia0007_dry_mixed_recycling"/>
    <s v="Waste"/>
    <x v="1"/>
    <n v="0"/>
    <n v="0"/>
    <n v="875.00001722946695"/>
    <n v="875.00001722946695"/>
    <s v="Non-hazardous waste"/>
    <n v="9"/>
    <x v="8"/>
  </r>
  <r>
    <x v="2"/>
    <s v="Hibernia0007_dry_mixed_recycling"/>
    <s v="Waste"/>
    <x v="1"/>
    <n v="0"/>
    <n v="0"/>
    <n v="1918.0000377818899"/>
    <n v="1918.0000377818899"/>
    <s v="Non-hazardous waste"/>
    <n v="10"/>
    <x v="9"/>
  </r>
  <r>
    <x v="2"/>
    <s v="Hibernia0007_dry_mixed_recycling"/>
    <s v="Waste"/>
    <x v="1"/>
    <n v="0"/>
    <n v="0"/>
    <n v="784.51690822839703"/>
    <n v="784.51690822839703"/>
    <s v="Non-hazardous waste"/>
    <n v="11"/>
    <x v="10"/>
  </r>
  <r>
    <x v="2"/>
    <s v="Hibernia0007_dry_mixed_recycling"/>
    <s v="Waste"/>
    <x v="1"/>
    <n v="0"/>
    <n v="0"/>
    <n v="2150.9999521076602"/>
    <n v="2150.9999521076602"/>
    <s v="Non-hazardous waste"/>
    <n v="12"/>
    <x v="11"/>
  </r>
  <r>
    <x v="2"/>
    <s v="Hibernia0007_commercial_and_industrial_waste"/>
    <s v="Waste"/>
    <x v="2"/>
    <n v="345.33330146223301"/>
    <n v="0"/>
    <n v="0"/>
    <n v="345.33330146223301"/>
    <s v="Non-hazardous waste"/>
    <n v="1"/>
    <x v="0"/>
  </r>
  <r>
    <x v="2"/>
    <s v="Hibernia0007_commercial_and_industrial_waste"/>
    <s v="Waste"/>
    <x v="2"/>
    <n v="344.87500227987698"/>
    <n v="0"/>
    <n v="0"/>
    <n v="344.87500227987698"/>
    <s v="Non-hazardous waste"/>
    <n v="2"/>
    <x v="1"/>
  </r>
  <r>
    <x v="2"/>
    <s v="Hibernia0007_commercial_and_industrial_waste"/>
    <s v="Waste"/>
    <x v="2"/>
    <n v="527.35940273851099"/>
    <n v="0"/>
    <n v="0"/>
    <n v="527.35940273851099"/>
    <s v="Non-hazardous waste"/>
    <n v="3"/>
    <x v="2"/>
  </r>
  <r>
    <x v="2"/>
    <s v="Hibernia0007_commercial_and_industrial_waste"/>
    <s v="Waste"/>
    <x v="2"/>
    <n v="542.71169938147"/>
    <n v="0"/>
    <n v="0"/>
    <n v="542.71169938147"/>
    <s v="Non-hazardous waste"/>
    <n v="4"/>
    <x v="3"/>
  </r>
  <r>
    <x v="2"/>
    <s v="Hibernia0007_commercial_and_industrial_waste"/>
    <s v="Waste"/>
    <x v="2"/>
    <n v="390.37500228732802"/>
    <n v="0"/>
    <n v="0"/>
    <n v="390.37500228732802"/>
    <s v="Non-hazardous waste"/>
    <n v="5"/>
    <x v="4"/>
  </r>
  <r>
    <x v="2"/>
    <s v="Hibernia0007_commercial_and_industrial_waste"/>
    <s v="Waste"/>
    <x v="2"/>
    <n v="342.14060357771803"/>
    <n v="0"/>
    <n v="0"/>
    <n v="342.14060357771803"/>
    <s v="Non-hazardous waste"/>
    <n v="6"/>
    <x v="5"/>
  </r>
  <r>
    <x v="2"/>
    <s v="Hibernia0007_commercial_and_industrial_waste"/>
    <s v="Waste"/>
    <x v="2"/>
    <n v="540.80270044505596"/>
    <n v="0"/>
    <n v="0"/>
    <n v="540.80270044505596"/>
    <s v="Non-hazardous waste"/>
    <n v="7"/>
    <x v="6"/>
  </r>
  <r>
    <x v="2"/>
    <s v="Hibernia0007_commercial_and_industrial_waste"/>
    <s v="Waste"/>
    <x v="2"/>
    <n v="387.25579669698999"/>
    <n v="0"/>
    <n v="0"/>
    <n v="387.25579669698999"/>
    <s v="Non-hazardous waste"/>
    <n v="8"/>
    <x v="7"/>
  </r>
  <r>
    <x v="2"/>
    <s v="Hibernia0007_commercial_and_industrial_waste"/>
    <s v="Waste"/>
    <x v="2"/>
    <n v="518.70900858193602"/>
    <n v="0"/>
    <n v="0"/>
    <n v="518.70900858193602"/>
    <s v="Non-hazardous waste"/>
    <n v="9"/>
    <x v="8"/>
  </r>
  <r>
    <x v="2"/>
    <s v="Hibernia0007_commercial_and_industrial_waste"/>
    <s v="Waste"/>
    <x v="2"/>
    <n v="281.90930141135999"/>
    <n v="0"/>
    <n v="0"/>
    <n v="281.90930141135999"/>
    <s v="Non-hazardous waste"/>
    <n v="10"/>
    <x v="9"/>
  </r>
  <r>
    <x v="2"/>
    <s v="Hibernia0007_commercial_and_industrial_waste"/>
    <s v="Waste"/>
    <x v="2"/>
    <n v="381.99640158563801"/>
    <n v="0"/>
    <n v="0"/>
    <n v="381.99640158563801"/>
    <s v="Non-hazardous waste"/>
    <n v="11"/>
    <x v="10"/>
  </r>
  <r>
    <x v="2"/>
    <s v="Hibernia0007_commercial_and_industrial_waste"/>
    <s v="Waste"/>
    <x v="2"/>
    <n v="513.16669769585098"/>
    <n v="0"/>
    <n v="0"/>
    <n v="513.16669769585098"/>
    <s v="Non-hazardous waste"/>
    <n v="12"/>
    <x v="11"/>
  </r>
  <r>
    <x v="3"/>
    <s v="Hibernia0008_organic_waste"/>
    <s v="Waste"/>
    <x v="0"/>
    <n v="0"/>
    <n v="76.4999995008111"/>
    <n v="0"/>
    <n v="76.4999995008111"/>
    <s v="Non-hazardous waste"/>
    <n v="1"/>
    <x v="0"/>
  </r>
  <r>
    <x v="3"/>
    <s v="Hibernia0008_organic_waste"/>
    <s v="Waste"/>
    <x v="0"/>
    <n v="0"/>
    <n v="56.499999016523297"/>
    <n v="0"/>
    <n v="56.499999016523297"/>
    <s v="Non-hazardous waste"/>
    <n v="2"/>
    <x v="1"/>
  </r>
  <r>
    <x v="3"/>
    <s v="Hibernia0008_organic_waste"/>
    <s v="Waste"/>
    <x v="0"/>
    <n v="0"/>
    <n v="227.23501389639301"/>
    <n v="0"/>
    <n v="227.23501389639301"/>
    <s v="Non-hazardous waste"/>
    <n v="3"/>
    <x v="2"/>
  </r>
  <r>
    <x v="3"/>
    <s v="Hibernia0008_organic_waste"/>
    <s v="Waste"/>
    <x v="0"/>
    <n v="0"/>
    <n v="134.90170390534999"/>
    <n v="0"/>
    <n v="134.90170390534999"/>
    <s v="Non-hazardous waste"/>
    <n v="4"/>
    <x v="3"/>
  </r>
  <r>
    <x v="3"/>
    <s v="Hibernia0008_organic_waste"/>
    <s v="Waste"/>
    <x v="0"/>
    <n v="0"/>
    <n v="98.554725509547211"/>
    <n v="0"/>
    <n v="98.554725509547211"/>
    <s v="Non-hazardous waste"/>
    <n v="5"/>
    <x v="4"/>
  </r>
  <r>
    <x v="3"/>
    <s v="Hibernia0008_organic_waste"/>
    <s v="Waste"/>
    <x v="0"/>
    <n v="0"/>
    <n v="365.94771037101299"/>
    <n v="0"/>
    <n v="365.94771037101299"/>
    <s v="Non-hazardous waste"/>
    <n v="6"/>
    <x v="5"/>
  </r>
  <r>
    <x v="3"/>
    <s v="Hibernia0008_organic_waste"/>
    <s v="Waste"/>
    <x v="0"/>
    <n v="0"/>
    <n v="210.70316588177801"/>
    <n v="0"/>
    <n v="210.70316588177801"/>
    <s v="Non-hazardous waste"/>
    <n v="7"/>
    <x v="6"/>
  </r>
  <r>
    <x v="3"/>
    <s v="Hibernia0008_organic_waste"/>
    <s v="Waste"/>
    <x v="0"/>
    <n v="0"/>
    <n v="159.71597065820799"/>
    <n v="0"/>
    <n v="159.71597065820799"/>
    <s v="Non-hazardous waste"/>
    <n v="8"/>
    <x v="7"/>
  </r>
  <r>
    <x v="3"/>
    <s v="Hibernia0008_organic_waste"/>
    <s v="Waste"/>
    <x v="0"/>
    <n v="0"/>
    <n v="293.75601655095301"/>
    <n v="0"/>
    <n v="293.75601655095301"/>
    <s v="Non-hazardous waste"/>
    <n v="9"/>
    <x v="8"/>
  </r>
  <r>
    <x v="3"/>
    <s v="Hibernia0008_organic_waste"/>
    <s v="Waste"/>
    <x v="0"/>
    <n v="0"/>
    <n v="207.53754168405499"/>
    <n v="0"/>
    <n v="207.53754168405499"/>
    <s v="Non-hazardous waste"/>
    <n v="10"/>
    <x v="9"/>
  </r>
  <r>
    <x v="3"/>
    <s v="Hibernia0008_organic_waste"/>
    <s v="Waste"/>
    <x v="0"/>
    <n v="0"/>
    <n v="295.96245888963909"/>
    <n v="0"/>
    <n v="295.96245888963909"/>
    <s v="Non-hazardous waste"/>
    <n v="11"/>
    <x v="10"/>
  </r>
  <r>
    <x v="3"/>
    <s v="Hibernia0008_organic_waste"/>
    <s v="Waste"/>
    <x v="0"/>
    <n v="0"/>
    <n v="191.49999693036"/>
    <n v="0"/>
    <n v="191.49999693036"/>
    <s v="Non-hazardous waste"/>
    <n v="12"/>
    <x v="11"/>
  </r>
  <r>
    <x v="3"/>
    <s v="Hibernia0008_dry_mixed_recycling"/>
    <s v="Waste"/>
    <x v="1"/>
    <n v="0"/>
    <n v="0"/>
    <n v="249.45409968495301"/>
    <n v="249.45409968495301"/>
    <s v="Non-hazardous waste"/>
    <n v="1"/>
    <x v="0"/>
  </r>
  <r>
    <x v="3"/>
    <s v="Hibernia0008_dry_mixed_recycling"/>
    <s v="Waste"/>
    <x v="1"/>
    <n v="0"/>
    <n v="0"/>
    <n v="209.08370171673499"/>
    <n v="209.08370171673499"/>
    <s v="Non-hazardous waste"/>
    <n v="2"/>
    <x v="1"/>
  </r>
  <r>
    <x v="3"/>
    <s v="Hibernia0008_dry_mixed_recycling"/>
    <s v="Waste"/>
    <x v="1"/>
    <n v="0"/>
    <n v="0"/>
    <n v="203.56330339563999"/>
    <n v="203.56330339563999"/>
    <s v="Non-hazardous waste"/>
    <n v="3"/>
    <x v="2"/>
  </r>
  <r>
    <x v="3"/>
    <s v="Hibernia0008_dry_mixed_recycling"/>
    <s v="Waste"/>
    <x v="1"/>
    <n v="0"/>
    <n v="0"/>
    <n v="220.00000276602799"/>
    <n v="220.00000276602799"/>
    <s v="Non-hazardous waste"/>
    <n v="4"/>
    <x v="3"/>
  </r>
  <r>
    <x v="3"/>
    <s v="Hibernia0008_dry_mixed_recycling"/>
    <s v="Waste"/>
    <x v="1"/>
    <n v="0"/>
    <n v="0"/>
    <n v="217.73940185084899"/>
    <n v="217.73940185084899"/>
    <s v="Non-hazardous waste"/>
    <n v="5"/>
    <x v="4"/>
  </r>
  <r>
    <x v="3"/>
    <s v="Hibernia0008_dry_mixed_recycling"/>
    <s v="Waste"/>
    <x v="1"/>
    <n v="0"/>
    <n v="0"/>
    <n v="163.437156224256"/>
    <n v="163.437156224256"/>
    <s v="Non-hazardous waste"/>
    <n v="6"/>
    <x v="5"/>
  </r>
  <r>
    <x v="3"/>
    <s v="Hibernia0008_dry_mixed_recycling"/>
    <s v="Waste"/>
    <x v="1"/>
    <n v="0"/>
    <n v="0"/>
    <n v="197.527794415497"/>
    <n v="197.527794415497"/>
    <s v="Non-hazardous waste"/>
    <n v="7"/>
    <x v="6"/>
  </r>
  <r>
    <x v="3"/>
    <s v="Hibernia0008_dry_mixed_recycling"/>
    <s v="Waste"/>
    <x v="1"/>
    <n v="0"/>
    <n v="0"/>
    <n v="236.4593509119"/>
    <n v="236.4593509119"/>
    <s v="Non-hazardous waste"/>
    <n v="8"/>
    <x v="7"/>
  </r>
  <r>
    <x v="3"/>
    <s v="Hibernia0008_dry_mixed_recycling"/>
    <s v="Waste"/>
    <x v="1"/>
    <n v="0"/>
    <n v="0"/>
    <n v="199.106466252616"/>
    <n v="199.106466252616"/>
    <s v="Non-hazardous waste"/>
    <n v="9"/>
    <x v="8"/>
  </r>
  <r>
    <x v="3"/>
    <s v="Hibernia0008_dry_mixed_recycling"/>
    <s v="Waste"/>
    <x v="1"/>
    <n v="0"/>
    <n v="0"/>
    <n v="361.51006260089702"/>
    <n v="361.51006260089702"/>
    <s v="Non-hazardous waste"/>
    <n v="10"/>
    <x v="9"/>
  </r>
  <r>
    <x v="3"/>
    <s v="Hibernia0008_dry_mixed_recycling"/>
    <s v="Waste"/>
    <x v="1"/>
    <n v="0"/>
    <n v="0"/>
    <n v="247.26666695836801"/>
    <n v="247.26666695836801"/>
    <s v="Non-hazardous waste"/>
    <n v="11"/>
    <x v="10"/>
  </r>
  <r>
    <x v="3"/>
    <s v="Hibernia0008_dry_mixed_recycling"/>
    <s v="Waste"/>
    <x v="1"/>
    <n v="0"/>
    <n v="0"/>
    <n v="187.275997828692"/>
    <n v="187.275997828692"/>
    <s v="Non-hazardous waste"/>
    <n v="12"/>
    <x v="11"/>
  </r>
  <r>
    <x v="3"/>
    <s v="Hibernia0008_commercial_and_industrial_waste"/>
    <s v="Waste"/>
    <x v="2"/>
    <n v="394.00000334717299"/>
    <n v="0"/>
    <n v="0"/>
    <n v="394.00000334717299"/>
    <s v="Non-hazardous waste"/>
    <n v="1"/>
    <x v="0"/>
  </r>
  <r>
    <x v="3"/>
    <s v="Hibernia0008_commercial_and_industrial_waste"/>
    <s v="Waste"/>
    <x v="2"/>
    <n v="425.31249998137298"/>
    <n v="0"/>
    <n v="0"/>
    <n v="425.31249998137298"/>
    <s v="Non-hazardous waste"/>
    <n v="2"/>
    <x v="1"/>
  </r>
  <r>
    <x v="3"/>
    <s v="Hibernia0008_commercial_and_industrial_waste"/>
    <s v="Waste"/>
    <x v="2"/>
    <n v="473.14309910870992"/>
    <n v="0"/>
    <n v="0"/>
    <n v="473.14309910870992"/>
    <s v="Non-hazardous waste"/>
    <n v="3"/>
    <x v="2"/>
  </r>
  <r>
    <x v="3"/>
    <s v="Hibernia0008_commercial_and_industrial_waste"/>
    <s v="Waste"/>
    <x v="2"/>
    <n v="500.08750148117491"/>
    <n v="0"/>
    <n v="0"/>
    <n v="500.08750148117491"/>
    <s v="Non-hazardous waste"/>
    <n v="4"/>
    <x v="3"/>
  </r>
  <r>
    <x v="3"/>
    <s v="Hibernia0008_commercial_and_industrial_waste"/>
    <s v="Waste"/>
    <x v="2"/>
    <n v="543.71529538184404"/>
    <n v="0"/>
    <n v="0"/>
    <n v="543.71529538184404"/>
    <s v="Non-hazardous waste"/>
    <n v="5"/>
    <x v="4"/>
  </r>
  <r>
    <x v="3"/>
    <s v="Hibernia0008_commercial_and_industrial_waste"/>
    <s v="Waste"/>
    <x v="2"/>
    <n v="544.85610336996604"/>
    <n v="0"/>
    <n v="0"/>
    <n v="544.85610336996604"/>
    <s v="Non-hazardous waste"/>
    <n v="6"/>
    <x v="5"/>
  </r>
  <r>
    <x v="3"/>
    <s v="Hibernia0008_commercial_and_industrial_waste"/>
    <s v="Waste"/>
    <x v="2"/>
    <n v="477.54809795878799"/>
    <n v="0"/>
    <n v="0"/>
    <n v="477.54809795878799"/>
    <s v="Non-hazardous waste"/>
    <n v="7"/>
    <x v="6"/>
  </r>
  <r>
    <x v="3"/>
    <s v="Hibernia0008_commercial_and_industrial_waste"/>
    <s v="Waste"/>
    <x v="2"/>
    <n v="357.33910184353488"/>
    <n v="0"/>
    <n v="0"/>
    <n v="357.33910184353488"/>
    <s v="Non-hazardous waste"/>
    <n v="8"/>
    <x v="7"/>
  </r>
  <r>
    <x v="3"/>
    <s v="Hibernia0008_commercial_and_industrial_waste"/>
    <s v="Waste"/>
    <x v="2"/>
    <n v="521.58510102890398"/>
    <n v="0"/>
    <n v="0"/>
    <n v="521.58510102890398"/>
    <s v="Non-hazardous waste"/>
    <n v="9"/>
    <x v="8"/>
  </r>
  <r>
    <x v="3"/>
    <s v="Hibernia0008_commercial_and_industrial_waste"/>
    <s v="Waste"/>
    <x v="2"/>
    <n v="402.65750000253303"/>
    <n v="0"/>
    <n v="0"/>
    <n v="402.65750000253303"/>
    <s v="Non-hazardous waste"/>
    <n v="10"/>
    <x v="9"/>
  </r>
  <r>
    <x v="3"/>
    <s v="Hibernia0008_commercial_and_industrial_waste"/>
    <s v="Waste"/>
    <x v="2"/>
    <n v="370.99890084937198"/>
    <n v="0"/>
    <n v="0"/>
    <n v="370.99890084937198"/>
    <s v="Non-hazardous waste"/>
    <n v="11"/>
    <x v="10"/>
  </r>
  <r>
    <x v="3"/>
    <s v="Hibernia0008_commercial_and_industrial_waste"/>
    <s v="Waste"/>
    <x v="2"/>
    <n v="437.12580204009998"/>
    <n v="0"/>
    <n v="0"/>
    <n v="437.12580204009998"/>
    <s v="Non-hazardous waste"/>
    <n v="12"/>
    <x v="11"/>
  </r>
  <r>
    <x v="4"/>
    <s v="Hibernia0009_organic_waste"/>
    <s v="Waste"/>
    <x v="0"/>
    <n v="0"/>
    <n v="160"/>
    <n v="0"/>
    <n v="160"/>
    <s v="Non-hazardous waste"/>
    <n v="1"/>
    <x v="0"/>
  </r>
  <r>
    <x v="4"/>
    <s v="Hibernia0009_organic_waste"/>
    <s v="Waste"/>
    <x v="0"/>
    <n v="0"/>
    <n v="160"/>
    <n v="0"/>
    <n v="160"/>
    <s v="Non-hazardous waste"/>
    <n v="2"/>
    <x v="1"/>
  </r>
  <r>
    <x v="4"/>
    <s v="Hibernia0009_organic_waste"/>
    <s v="Waste"/>
    <x v="0"/>
    <n v="0"/>
    <n v="180"/>
    <n v="0"/>
    <n v="180"/>
    <s v="Non-hazardous waste"/>
    <n v="3"/>
    <x v="2"/>
  </r>
  <r>
    <x v="4"/>
    <s v="Hibernia0009_organic_waste"/>
    <s v="Waste"/>
    <x v="0"/>
    <n v="0"/>
    <n v="150"/>
    <n v="0"/>
    <n v="150"/>
    <s v="Non-hazardous waste"/>
    <n v="4"/>
    <x v="3"/>
  </r>
  <r>
    <x v="4"/>
    <s v="Hibernia0009_organic_waste"/>
    <s v="Waste"/>
    <x v="0"/>
    <n v="0"/>
    <n v="140"/>
    <n v="0"/>
    <n v="140"/>
    <s v="Non-hazardous waste"/>
    <n v="5"/>
    <x v="4"/>
  </r>
  <r>
    <x v="4"/>
    <s v="Hibernia0009_organic_waste"/>
    <s v="Waste"/>
    <x v="0"/>
    <n v="0"/>
    <n v="160"/>
    <n v="0"/>
    <n v="160"/>
    <s v="Non-hazardous waste"/>
    <n v="6"/>
    <x v="5"/>
  </r>
  <r>
    <x v="4"/>
    <s v="Hibernia0009_organic_waste"/>
    <s v="Waste"/>
    <x v="0"/>
    <n v="0"/>
    <n v="160"/>
    <n v="0"/>
    <n v="160"/>
    <s v="Non-hazardous waste"/>
    <n v="7"/>
    <x v="6"/>
  </r>
  <r>
    <x v="4"/>
    <s v="Hibernia0009_organic_waste"/>
    <s v="Waste"/>
    <x v="0"/>
    <n v="0"/>
    <n v="190"/>
    <n v="0"/>
    <n v="190"/>
    <s v="Non-hazardous waste"/>
    <n v="8"/>
    <x v="7"/>
  </r>
  <r>
    <x v="4"/>
    <s v="Hibernia0009_organic_waste"/>
    <s v="Waste"/>
    <x v="0"/>
    <n v="0"/>
    <n v="180"/>
    <n v="0"/>
    <n v="180"/>
    <s v="Non-hazardous waste"/>
    <n v="9"/>
    <x v="8"/>
  </r>
  <r>
    <x v="4"/>
    <s v="Hibernia0009_organic_waste"/>
    <s v="Waste"/>
    <x v="0"/>
    <n v="0"/>
    <n v="150"/>
    <n v="0"/>
    <n v="150"/>
    <s v="Non-hazardous waste"/>
    <n v="10"/>
    <x v="9"/>
  </r>
  <r>
    <x v="4"/>
    <s v="Hibernia0009_organic_waste"/>
    <s v="Waste"/>
    <x v="0"/>
    <n v="0"/>
    <n v="80"/>
    <n v="0"/>
    <n v="80"/>
    <s v="Non-hazardous waste"/>
    <n v="11"/>
    <x v="10"/>
  </r>
  <r>
    <x v="4"/>
    <s v="Hibernia0009_organic_waste"/>
    <s v="Waste"/>
    <x v="0"/>
    <m/>
    <n v="210"/>
    <n v="0"/>
    <n v="210"/>
    <s v="Non-hazardous waste"/>
    <n v="12"/>
    <x v="11"/>
  </r>
  <r>
    <x v="4"/>
    <s v="Hibernia0009_dry_mixed_recycling"/>
    <s v="Waste"/>
    <x v="1"/>
    <n v="0"/>
    <n v="0"/>
    <n v="1293.6363636363637"/>
    <n v="1294"/>
    <s v="Non-hazardous waste"/>
    <n v="1"/>
    <x v="0"/>
  </r>
  <r>
    <x v="4"/>
    <s v="Hibernia0009_dry_mixed_recycling"/>
    <s v="Waste"/>
    <x v="1"/>
    <n v="0"/>
    <n v="0"/>
    <n v="1430"/>
    <n v="1430"/>
    <s v="Non-hazardous waste"/>
    <n v="2"/>
    <x v="1"/>
  </r>
  <r>
    <x v="4"/>
    <s v="Hibernia0009_dry_mixed_recycling"/>
    <s v="Waste"/>
    <x v="1"/>
    <n v="0"/>
    <n v="0"/>
    <n v="1850"/>
    <n v="1850"/>
    <s v="Non-hazardous waste"/>
    <n v="3"/>
    <x v="2"/>
  </r>
  <r>
    <x v="4"/>
    <s v="Hibernia0009_dry_mixed_recycling"/>
    <s v="Waste"/>
    <x v="1"/>
    <n v="0"/>
    <n v="0"/>
    <n v="1550"/>
    <n v="1550"/>
    <s v="Non-hazardous waste"/>
    <n v="4"/>
    <x v="3"/>
  </r>
  <r>
    <x v="4"/>
    <s v="Hibernia0009_dry_mixed_recycling"/>
    <s v="Waste"/>
    <x v="1"/>
    <n v="0"/>
    <n v="0"/>
    <n v="600"/>
    <n v="600"/>
    <s v="Non-hazardous waste"/>
    <n v="5"/>
    <x v="4"/>
  </r>
  <r>
    <x v="4"/>
    <s v="Hibernia0009_dry_mixed_recycling"/>
    <s v="Waste"/>
    <x v="1"/>
    <n v="0"/>
    <n v="0"/>
    <n v="1610"/>
    <n v="1610"/>
    <s v="Non-hazardous waste"/>
    <n v="6"/>
    <x v="5"/>
  </r>
  <r>
    <x v="4"/>
    <s v="Hibernia0009_dry_mixed_recycling"/>
    <s v="Waste"/>
    <x v="1"/>
    <n v="0"/>
    <n v="0"/>
    <n v="1720"/>
    <n v="1720"/>
    <s v="Non-hazardous waste"/>
    <n v="7"/>
    <x v="6"/>
  </r>
  <r>
    <x v="4"/>
    <s v="Hibernia0009_dry_mixed_recycling"/>
    <s v="Waste"/>
    <x v="1"/>
    <n v="0"/>
    <n v="0"/>
    <n v="1280"/>
    <n v="1280"/>
    <s v="Non-hazardous waste"/>
    <n v="8"/>
    <x v="7"/>
  </r>
  <r>
    <x v="4"/>
    <s v="Hibernia0009_dry_mixed_recycling"/>
    <s v="Waste"/>
    <x v="1"/>
    <n v="0"/>
    <n v="0"/>
    <n v="1290"/>
    <n v="1290"/>
    <s v="Non-hazardous waste"/>
    <n v="9"/>
    <x v="8"/>
  </r>
  <r>
    <x v="4"/>
    <s v="Hibernia0009_dry_mixed_recycling"/>
    <s v="Waste"/>
    <x v="1"/>
    <n v="0"/>
    <n v="0"/>
    <n v="500"/>
    <n v="500"/>
    <s v="Non-hazardous waste"/>
    <n v="10"/>
    <x v="9"/>
  </r>
  <r>
    <x v="4"/>
    <s v="Hibernia0009_dry_mixed_recycling"/>
    <s v="Waste"/>
    <x v="1"/>
    <n v="0"/>
    <n v="0"/>
    <n v="1260"/>
    <n v="1260"/>
    <s v="Non-hazardous waste"/>
    <n v="11"/>
    <x v="10"/>
  </r>
  <r>
    <x v="4"/>
    <s v="Hibernia0009_dry_mixed_recycling"/>
    <s v="Waste"/>
    <x v="1"/>
    <n v="0"/>
    <n v="0"/>
    <n v="1140"/>
    <n v="1140"/>
    <s v="Non-hazardous waste"/>
    <n v="12"/>
    <x v="11"/>
  </r>
  <r>
    <x v="4"/>
    <s v="Hibernia0009_commercial_and_industrial_waste"/>
    <s v="Waste"/>
    <x v="2"/>
    <n v="1965.4545454545455"/>
    <n v="0"/>
    <n v="0"/>
    <n v="1965"/>
    <s v="Non-hazardous waste"/>
    <n v="1"/>
    <x v="0"/>
  </r>
  <r>
    <x v="4"/>
    <s v="Hibernia0009_commercial_and_industrial_waste"/>
    <s v="Waste"/>
    <x v="2"/>
    <n v="840"/>
    <n v="0"/>
    <n v="0"/>
    <n v="840"/>
    <s v="Non-hazardous waste"/>
    <n v="2"/>
    <x v="1"/>
  </r>
  <r>
    <x v="4"/>
    <s v="Hibernia0009_commercial_and_industrial_waste"/>
    <s v="Waste"/>
    <x v="2"/>
    <n v="1290"/>
    <n v="0"/>
    <n v="0"/>
    <n v="1290"/>
    <s v="Non-hazardous waste"/>
    <n v="3"/>
    <x v="2"/>
  </r>
  <r>
    <x v="4"/>
    <s v="Hibernia0009_commercial_and_industrial_waste"/>
    <s v="Waste"/>
    <x v="2"/>
    <n v="2180"/>
    <n v="0"/>
    <n v="0"/>
    <n v="2180"/>
    <s v="Non-hazardous waste"/>
    <n v="4"/>
    <x v="3"/>
  </r>
  <r>
    <x v="4"/>
    <s v="Hibernia0009_commercial_and_industrial_waste"/>
    <s v="Waste"/>
    <x v="2"/>
    <n v="2500"/>
    <n v="0"/>
    <n v="0"/>
    <n v="2500"/>
    <s v="Non-hazardous waste"/>
    <n v="5"/>
    <x v="4"/>
  </r>
  <r>
    <x v="4"/>
    <s v="Hibernia0009_commercial_and_industrial_waste"/>
    <s v="Waste"/>
    <x v="2"/>
    <n v="3120"/>
    <n v="0"/>
    <n v="0"/>
    <n v="3120"/>
    <s v="Non-hazardous waste"/>
    <n v="6"/>
    <x v="5"/>
  </r>
  <r>
    <x v="4"/>
    <s v="Hibernia0009_commercial_and_industrial_waste"/>
    <s v="Waste"/>
    <x v="2"/>
    <n v="2470"/>
    <n v="0"/>
    <n v="0"/>
    <n v="2470"/>
    <s v="Non-hazardous waste"/>
    <n v="7"/>
    <x v="6"/>
  </r>
  <r>
    <x v="4"/>
    <s v="Hibernia0009_commercial_and_industrial_waste"/>
    <s v="Waste"/>
    <x v="2"/>
    <n v="1950"/>
    <n v="0"/>
    <n v="0"/>
    <n v="1950"/>
    <s v="Non-hazardous waste"/>
    <n v="8"/>
    <x v="7"/>
  </r>
  <r>
    <x v="4"/>
    <s v="Hibernia0009_commercial_and_industrial_waste"/>
    <s v="Waste"/>
    <x v="2"/>
    <n v="1650"/>
    <n v="0"/>
    <n v="0"/>
    <n v="1650"/>
    <s v="Non-hazardous waste"/>
    <n v="9"/>
    <x v="8"/>
  </r>
  <r>
    <x v="4"/>
    <s v="Hibernia0009_commercial_and_industrial_waste"/>
    <s v="Waste"/>
    <x v="2"/>
    <n v="2330"/>
    <n v="0"/>
    <n v="0"/>
    <n v="2330"/>
    <s v="Non-hazardous waste"/>
    <n v="10"/>
    <x v="9"/>
  </r>
  <r>
    <x v="4"/>
    <s v="Hibernia0009_commercial_and_industrial_waste"/>
    <s v="Waste"/>
    <x v="2"/>
    <n v="1540"/>
    <n v="0"/>
    <n v="0"/>
    <n v="1540"/>
    <s v="Non-hazardous waste"/>
    <n v="11"/>
    <x v="10"/>
  </r>
  <r>
    <x v="4"/>
    <s v="Hibernia0009_commercial_and_industrial_waste"/>
    <s v="Waste"/>
    <x v="2"/>
    <n v="1750"/>
    <n v="0"/>
    <n v="0"/>
    <n v="1750"/>
    <s v="Non-hazardous waste"/>
    <n v="12"/>
    <x v="11"/>
  </r>
  <r>
    <x v="5"/>
    <s v="Hibernia0011_organic_waste"/>
    <s v="Waste"/>
    <x v="0"/>
    <n v="0"/>
    <n v="268.49999744445"/>
    <n v="0"/>
    <n v="268.49999744445"/>
    <s v="Non-hazardous waste"/>
    <n v="1"/>
    <x v="0"/>
  </r>
  <r>
    <x v="5"/>
    <s v="Hibernia0011_organic_waste"/>
    <s v="Waste"/>
    <x v="0"/>
    <n v="0"/>
    <n v="277.99999900162197"/>
    <n v="0"/>
    <n v="277.99999900162197"/>
    <s v="Non-hazardous waste"/>
    <n v="2"/>
    <x v="1"/>
  </r>
  <r>
    <x v="5"/>
    <s v="Hibernia0011_organic_waste"/>
    <s v="Waste"/>
    <x v="0"/>
    <n v="0"/>
    <n v="248.50000068545299"/>
    <n v="0"/>
    <n v="248.50000068545299"/>
    <s v="Non-hazardous waste"/>
    <n v="3"/>
    <x v="2"/>
  </r>
  <r>
    <x v="5"/>
    <s v="Hibernia0011_organic_waste"/>
    <s v="Waste"/>
    <x v="0"/>
    <n v="0"/>
    <n v="256.33810088038399"/>
    <n v="0"/>
    <n v="256.33810088038399"/>
    <s v="Non-hazardous waste"/>
    <n v="4"/>
    <x v="3"/>
  </r>
  <r>
    <x v="5"/>
    <s v="Hibernia0011_organic_waste"/>
    <s v="Waste"/>
    <x v="0"/>
    <n v="0"/>
    <n v="402.32220198959101"/>
    <n v="0"/>
    <n v="402.32220198959101"/>
    <s v="Non-hazardous waste"/>
    <n v="5"/>
    <x v="4"/>
  </r>
  <r>
    <x v="5"/>
    <s v="Hibernia0011_organic_waste"/>
    <s v="Waste"/>
    <x v="0"/>
    <n v="0"/>
    <n v="173.000000417232"/>
    <n v="0"/>
    <n v="173.000000417232"/>
    <s v="Non-hazardous waste"/>
    <n v="6"/>
    <x v="5"/>
  </r>
  <r>
    <x v="5"/>
    <s v="Hibernia0011_organic_waste"/>
    <s v="Waste"/>
    <x v="0"/>
    <n v="0"/>
    <n v="150.090901181101"/>
    <n v="0"/>
    <n v="150.090901181101"/>
    <s v="Non-hazardous waste"/>
    <n v="7"/>
    <x v="6"/>
  </r>
  <r>
    <x v="5"/>
    <s v="Hibernia0011_organic_waste"/>
    <s v="Waste"/>
    <x v="0"/>
    <n v="0"/>
    <n v="192.699000239372"/>
    <n v="0"/>
    <n v="192.699000239372"/>
    <s v="Non-hazardous waste"/>
    <n v="8"/>
    <x v="7"/>
  </r>
  <r>
    <x v="5"/>
    <s v="Hibernia0011_organic_waste"/>
    <s v="Waste"/>
    <x v="0"/>
    <n v="0"/>
    <n v="146.49999886751101"/>
    <n v="0"/>
    <n v="146.49999886751101"/>
    <s v="Non-hazardous waste"/>
    <n v="9"/>
    <x v="8"/>
  </r>
  <r>
    <x v="5"/>
    <s v="Hibernia0011_organic_waste"/>
    <s v="Waste"/>
    <x v="0"/>
    <n v="0"/>
    <n v="185.782298445701"/>
    <n v="0"/>
    <n v="185.782298445701"/>
    <s v="Non-hazardous waste"/>
    <n v="10"/>
    <x v="9"/>
  </r>
  <r>
    <x v="5"/>
    <s v="Hibernia0011_organic_waste"/>
    <s v="Waste"/>
    <x v="0"/>
    <n v="0"/>
    <n v="182.350000366568"/>
    <n v="0"/>
    <n v="182.350000366568"/>
    <s v="Non-hazardous waste"/>
    <n v="11"/>
    <x v="10"/>
  </r>
  <r>
    <x v="5"/>
    <s v="Hibernia0011_organic_waste"/>
    <s v="Waste"/>
    <x v="0"/>
    <n v="0"/>
    <n v="132.87290185689901"/>
    <n v="0"/>
    <n v="132.87290185689901"/>
    <s v="Non-hazardous waste"/>
    <n v="12"/>
    <x v="11"/>
  </r>
  <r>
    <x v="5"/>
    <s v="Hibernia0011_dry_mixed_recycling"/>
    <s v="Waste"/>
    <x v="1"/>
    <n v="0"/>
    <n v="0"/>
    <n v="410.831201355904"/>
    <n v="410.831201355904"/>
    <s v="Non-hazardous waste"/>
    <n v="1"/>
    <x v="0"/>
  </r>
  <r>
    <x v="5"/>
    <s v="Hibernia0011_dry_mixed_recycling"/>
    <s v="Waste"/>
    <x v="1"/>
    <n v="0"/>
    <n v="0"/>
    <n v="407.70769305527199"/>
    <n v="407.70769305527199"/>
    <s v="Non-hazardous waste"/>
    <n v="2"/>
    <x v="1"/>
  </r>
  <r>
    <x v="5"/>
    <s v="Hibernia0011_dry_mixed_recycling"/>
    <s v="Waste"/>
    <x v="1"/>
    <n v="0"/>
    <n v="0"/>
    <n v="425.28379894792999"/>
    <n v="425.28379894792999"/>
    <s v="Non-hazardous waste"/>
    <n v="3"/>
    <x v="2"/>
  </r>
  <r>
    <x v="5"/>
    <s v="Hibernia0011_dry_mixed_recycling"/>
    <s v="Waste"/>
    <x v="1"/>
    <n v="0"/>
    <n v="0"/>
    <n v="311.00000441074297"/>
    <n v="311.00000441074297"/>
    <s v="Non-hazardous waste"/>
    <n v="4"/>
    <x v="3"/>
  </r>
  <r>
    <x v="5"/>
    <s v="Hibernia0011_dry_mixed_recycling"/>
    <s v="Waste"/>
    <x v="1"/>
    <n v="0"/>
    <n v="0"/>
    <n v="306.88880011439301"/>
    <n v="306.88880011439301"/>
    <s v="Non-hazardous waste"/>
    <n v="5"/>
    <x v="4"/>
  </r>
  <r>
    <x v="5"/>
    <s v="Hibernia0011_dry_mixed_recycling"/>
    <s v="Waste"/>
    <x v="1"/>
    <n v="0"/>
    <n v="0"/>
    <n v="215.752899646759"/>
    <n v="215.752899646759"/>
    <s v="Non-hazardous waste"/>
    <n v="6"/>
    <x v="5"/>
  </r>
  <r>
    <x v="5"/>
    <s v="Hibernia0011_dry_mixed_recycling"/>
    <s v="Waste"/>
    <x v="1"/>
    <n v="0"/>
    <n v="0"/>
    <n v="200.50000026821999"/>
    <n v="200.50000026821999"/>
    <s v="Non-hazardous waste"/>
    <n v="7"/>
    <x v="6"/>
  </r>
  <r>
    <x v="5"/>
    <s v="Hibernia0011_dry_mixed_recycling"/>
    <s v="Waste"/>
    <x v="1"/>
    <n v="0"/>
    <n v="0"/>
    <n v="327.789798378944"/>
    <n v="327.789798378944"/>
    <s v="Non-hazardous waste"/>
    <n v="8"/>
    <x v="7"/>
  </r>
  <r>
    <x v="5"/>
    <s v="Hibernia0011_dry_mixed_recycling"/>
    <s v="Waste"/>
    <x v="1"/>
    <n v="0"/>
    <n v="0"/>
    <n v="279.00000289082499"/>
    <n v="279.00000289082499"/>
    <s v="Non-hazardous waste"/>
    <n v="9"/>
    <x v="8"/>
  </r>
  <r>
    <x v="5"/>
    <s v="Hibernia0011_dry_mixed_recycling"/>
    <s v="Waste"/>
    <x v="1"/>
    <n v="0"/>
    <n v="0"/>
    <n v="525.56250244378998"/>
    <n v="525.56250244378998"/>
    <s v="Non-hazardous waste"/>
    <n v="10"/>
    <x v="9"/>
  </r>
  <r>
    <x v="5"/>
    <s v="Hibernia0011_dry_mixed_recycling"/>
    <s v="Waste"/>
    <x v="1"/>
    <n v="0"/>
    <n v="0"/>
    <n v="328.48300039768202"/>
    <n v="328.48300039768202"/>
    <s v="Non-hazardous waste"/>
    <n v="11"/>
    <x v="10"/>
  </r>
  <r>
    <x v="5"/>
    <s v="Hibernia0011_dry_mixed_recycling"/>
    <s v="Waste"/>
    <x v="1"/>
    <n v="0"/>
    <n v="0"/>
    <n v="248.30029718577799"/>
    <n v="248.30029718577799"/>
    <s v="Non-hazardous waste"/>
    <n v="12"/>
    <x v="11"/>
  </r>
  <r>
    <x v="5"/>
    <s v="Hibernia0011_commercial_and_industrial_waste"/>
    <s v="Waste"/>
    <x v="2"/>
    <n v="568.99999827146496"/>
    <n v="0"/>
    <n v="0"/>
    <n v="568.99999827146496"/>
    <s v="Non-hazardous waste"/>
    <n v="1"/>
    <x v="0"/>
  </r>
  <r>
    <x v="5"/>
    <s v="Hibernia0011_commercial_and_industrial_waste"/>
    <s v="Waste"/>
    <x v="2"/>
    <n v="468.99999678134901"/>
    <n v="0"/>
    <n v="0"/>
    <n v="468.99999678134901"/>
    <s v="Non-hazardous waste"/>
    <n v="2"/>
    <x v="1"/>
  </r>
  <r>
    <x v="5"/>
    <s v="Hibernia0011_commercial_and_industrial_waste"/>
    <s v="Waste"/>
    <x v="2"/>
    <n v="894.99999582767396"/>
    <n v="0"/>
    <n v="0"/>
    <n v="894.99999582767396"/>
    <s v="Non-hazardous waste"/>
    <n v="3"/>
    <x v="2"/>
  </r>
  <r>
    <x v="5"/>
    <s v="Hibernia0011_commercial_and_industrial_waste"/>
    <s v="Waste"/>
    <x v="2"/>
    <n v="300.999999046325"/>
    <n v="0"/>
    <n v="0"/>
    <n v="300.999999046325"/>
    <s v="Non-hazardous waste"/>
    <n v="4"/>
    <x v="3"/>
  </r>
  <r>
    <x v="5"/>
    <s v="Hibernia0011_commercial_and_industrial_waste"/>
    <s v="Waste"/>
    <x v="2"/>
    <n v="405.99999576806999"/>
    <n v="0"/>
    <n v="0"/>
    <n v="405.99999576806999"/>
    <s v="Non-hazardous waste"/>
    <n v="5"/>
    <x v="4"/>
  </r>
  <r>
    <x v="5"/>
    <s v="Hibernia0011_commercial_and_industrial_waste"/>
    <s v="Waste"/>
    <x v="2"/>
    <n v="322.00000435113901"/>
    <n v="0"/>
    <n v="0"/>
    <n v="322.00000435113901"/>
    <s v="Non-hazardous waste"/>
    <n v="6"/>
    <x v="5"/>
  </r>
  <r>
    <x v="5"/>
    <s v="Hibernia0011_commercial_and_industrial_waste"/>
    <s v="Waste"/>
    <x v="2"/>
    <n v="311.11110001802399"/>
    <n v="0"/>
    <n v="0"/>
    <n v="311.11110001802399"/>
    <s v="Non-hazardous waste"/>
    <n v="7"/>
    <x v="6"/>
  </r>
  <r>
    <x v="5"/>
    <s v="Hibernia0011_commercial_and_industrial_waste"/>
    <s v="Waste"/>
    <x v="2"/>
    <n v="365.99998921155901"/>
    <n v="0"/>
    <n v="0"/>
    <n v="365.99998921155901"/>
    <s v="Non-hazardous waste"/>
    <n v="8"/>
    <x v="7"/>
  </r>
  <r>
    <x v="5"/>
    <s v="Hibernia0011_commercial_and_industrial_waste"/>
    <s v="Waste"/>
    <x v="2"/>
    <n v="332.00000226497599"/>
    <n v="0"/>
    <n v="0"/>
    <n v="332.00000226497599"/>
    <s v="Non-hazardous waste"/>
    <n v="9"/>
    <x v="8"/>
  </r>
  <r>
    <x v="5"/>
    <s v="Hibernia0011_commercial_and_industrial_waste"/>
    <s v="Waste"/>
    <x v="2"/>
    <n v="430.56000024080203"/>
    <n v="0"/>
    <n v="0"/>
    <n v="430.56000024080203"/>
    <s v="Non-hazardous waste"/>
    <n v="10"/>
    <x v="9"/>
  </r>
  <r>
    <x v="5"/>
    <s v="Hibernia0011_commercial_and_industrial_waste"/>
    <s v="Waste"/>
    <x v="2"/>
    <n v="329.12350445985697"/>
    <n v="0"/>
    <n v="0"/>
    <n v="329.12350445985697"/>
    <s v="Non-hazardous waste"/>
    <n v="11"/>
    <x v="10"/>
  </r>
  <r>
    <x v="5"/>
    <s v="Hibernia0011_commercial_and_industrial_waste"/>
    <s v="Waste"/>
    <x v="2"/>
    <n v="292.001403868198"/>
    <n v="0"/>
    <n v="0"/>
    <n v="292.001403868198"/>
    <s v="Non-hazardous waste"/>
    <n v="12"/>
    <x v="11"/>
  </r>
  <r>
    <x v="6"/>
    <s v="Hibernia0012_organic_waste"/>
    <s v="Waste"/>
    <x v="0"/>
    <n v="0"/>
    <n v="102.50000003725199"/>
    <n v="0"/>
    <n v="102.50000003725199"/>
    <s v="Non-hazardous waste"/>
    <n v="1"/>
    <x v="0"/>
  </r>
  <r>
    <x v="6"/>
    <s v="Hibernia0012_organic_waste"/>
    <s v="Waste"/>
    <x v="0"/>
    <n v="0"/>
    <n v="130.74999861419201"/>
    <n v="0"/>
    <n v="130.74999861419201"/>
    <s v="Non-hazardous waste"/>
    <n v="2"/>
    <x v="1"/>
  </r>
  <r>
    <x v="6"/>
    <s v="Hibernia0012_organic_waste"/>
    <s v="Waste"/>
    <x v="0"/>
    <n v="0"/>
    <n v="108.99999924004"/>
    <n v="0"/>
    <n v="108.99999924004"/>
    <s v="Non-hazardous waste"/>
    <n v="3"/>
    <x v="2"/>
  </r>
  <r>
    <x v="6"/>
    <s v="Hibernia0012_organic_waste"/>
    <s v="Waste"/>
    <x v="0"/>
    <n v="0"/>
    <n v="71.499998681247206"/>
    <n v="0"/>
    <n v="71.499998681247206"/>
    <s v="Non-hazardous waste"/>
    <n v="4"/>
    <x v="3"/>
  </r>
  <r>
    <x v="6"/>
    <s v="Hibernia0012_organic_waste"/>
    <s v="Waste"/>
    <x v="0"/>
    <n v="0"/>
    <n v="98.499998915940495"/>
    <n v="0"/>
    <n v="98.499998915940495"/>
    <s v="Non-hazardous waste"/>
    <n v="5"/>
    <x v="4"/>
  </r>
  <r>
    <x v="6"/>
    <s v="Hibernia0012_organic_waste"/>
    <s v="Waste"/>
    <x v="0"/>
    <n v="0"/>
    <n v="22.499999497085799"/>
    <n v="0"/>
    <n v="22.499999497085799"/>
    <s v="Non-hazardous waste"/>
    <n v="6"/>
    <x v="5"/>
  </r>
  <r>
    <x v="6"/>
    <s v="Hibernia0012_organic_waste"/>
    <s v="Waste"/>
    <x v="0"/>
    <n v="0"/>
    <n v="111.49999778717699"/>
    <n v="0"/>
    <n v="111.49999778717699"/>
    <s v="Non-hazardous waste"/>
    <n v="7"/>
    <x v="6"/>
  </r>
  <r>
    <x v="6"/>
    <s v="Hibernia0012_organic_waste"/>
    <s v="Waste"/>
    <x v="0"/>
    <n v="0"/>
    <n v="70.5499984323978"/>
    <n v="0"/>
    <n v="70.5499984323978"/>
    <s v="Non-hazardous waste"/>
    <n v="8"/>
    <x v="7"/>
  </r>
  <r>
    <x v="6"/>
    <s v="Hibernia0012_organic_waste"/>
    <s v="Waste"/>
    <x v="0"/>
    <n v="0"/>
    <n v="50.833300454541998"/>
    <n v="0"/>
    <n v="50.833300454541998"/>
    <s v="Non-hazardous waste"/>
    <n v="9"/>
    <x v="8"/>
  </r>
  <r>
    <x v="6"/>
    <s v="Hibernia0012_organic_waste"/>
    <s v="Waste"/>
    <x v="0"/>
    <n v="0"/>
    <n v="71.444400586187797"/>
    <n v="0"/>
    <n v="71.444400586187797"/>
    <s v="Non-hazardous waste"/>
    <n v="10"/>
    <x v="9"/>
  </r>
  <r>
    <x v="6"/>
    <s v="Hibernia0012_organic_waste"/>
    <s v="Waste"/>
    <x v="0"/>
    <n v="0"/>
    <n v="59.748201631009501"/>
    <n v="0"/>
    <n v="59.748201631009501"/>
    <s v="Non-hazardous waste"/>
    <n v="11"/>
    <x v="10"/>
  </r>
  <r>
    <x v="6"/>
    <s v="Hibernia0012_organic_waste"/>
    <s v="Waste"/>
    <x v="0"/>
    <n v="0"/>
    <n v="40.999999269843102"/>
    <n v="0"/>
    <n v="40.999999269843102"/>
    <s v="Non-hazardous waste"/>
    <n v="12"/>
    <x v="11"/>
  </r>
  <r>
    <x v="6"/>
    <s v="Hibernia0012_dry_mixed_recycling"/>
    <s v="Waste"/>
    <x v="1"/>
    <n v="0"/>
    <n v="0"/>
    <n v="1140.00004157423"/>
    <n v="1140.00004157423"/>
    <s v="Non-hazardous waste"/>
    <n v="1"/>
    <x v="0"/>
  </r>
  <r>
    <x v="6"/>
    <s v="Hibernia0012_dry_mixed_recycling"/>
    <s v="Waste"/>
    <x v="1"/>
    <n v="0"/>
    <n v="0"/>
    <n v="1740.0000020861601"/>
    <n v="1740.0000020861601"/>
    <s v="Non-hazardous waste"/>
    <n v="2"/>
    <x v="1"/>
  </r>
  <r>
    <x v="6"/>
    <s v="Hibernia0012_dry_mixed_recycling"/>
    <s v="Waste"/>
    <x v="1"/>
    <n v="0"/>
    <n v="0"/>
    <n v="1919.9999496340699"/>
    <n v="1919.9999496340699"/>
    <s v="Non-hazardous waste"/>
    <n v="3"/>
    <x v="2"/>
  </r>
  <r>
    <x v="6"/>
    <s v="Hibernia0012_dry_mixed_recycling"/>
    <s v="Waste"/>
    <x v="1"/>
    <n v="0"/>
    <n v="0"/>
    <n v="1140.00004157423"/>
    <n v="1140.00004157423"/>
    <s v="Non-hazardous waste"/>
    <n v="4"/>
    <x v="3"/>
  </r>
  <r>
    <x v="6"/>
    <s v="Hibernia0012_dry_mixed_recycling"/>
    <s v="Waste"/>
    <x v="1"/>
    <n v="0"/>
    <n v="0"/>
    <n v="1140.00004157423"/>
    <n v="1140.00004157423"/>
    <s v="Non-hazardous waste"/>
    <n v="5"/>
    <x v="4"/>
  </r>
  <r>
    <x v="6"/>
    <s v="Hibernia0012_dry_mixed_recycling"/>
    <s v="Waste"/>
    <x v="1"/>
    <n v="0"/>
    <n v="0"/>
    <n v="780.00002726912498"/>
    <n v="780.00002726912498"/>
    <s v="Non-hazardous waste"/>
    <n v="6"/>
    <x v="5"/>
  </r>
  <r>
    <x v="6"/>
    <s v="Hibernia0012_dry_mixed_recycling"/>
    <s v="Waste"/>
    <x v="1"/>
    <n v="0"/>
    <n v="0"/>
    <n v="750.00002793967701"/>
    <n v="750.00002793967701"/>
    <s v="Non-hazardous waste"/>
    <n v="7"/>
    <x v="6"/>
  </r>
  <r>
    <x v="6"/>
    <s v="Hibernia0012_dry_mixed_recycling"/>
    <s v="Waste"/>
    <x v="1"/>
    <n v="0"/>
    <n v="0"/>
    <n v="390.00001363456198"/>
    <n v="390.00001363456198"/>
    <s v="Non-hazardous waste"/>
    <n v="8"/>
    <x v="7"/>
  </r>
  <r>
    <x v="6"/>
    <s v="Hibernia0012_dry_mixed_recycling"/>
    <s v="Waste"/>
    <x v="1"/>
    <n v="0"/>
    <n v="0"/>
    <n v="960.00003442168202"/>
    <n v="960.00003442168202"/>
    <s v="Non-hazardous waste"/>
    <n v="9"/>
    <x v="8"/>
  </r>
  <r>
    <x v="6"/>
    <s v="Hibernia0012_dry_mixed_recycling"/>
    <s v="Waste"/>
    <x v="1"/>
    <n v="0"/>
    <n v="0"/>
    <n v="900.00003576278596"/>
    <n v="900.00003576278596"/>
    <s v="Non-hazardous waste"/>
    <n v="10"/>
    <x v="9"/>
  </r>
  <r>
    <x v="6"/>
    <s v="Hibernia0012_dry_mixed_recycling"/>
    <s v="Waste"/>
    <x v="1"/>
    <n v="0"/>
    <n v="0"/>
    <n v="540.00002145767201"/>
    <n v="540.00002145767201"/>
    <s v="Non-hazardous waste"/>
    <n v="11"/>
    <x v="10"/>
  </r>
  <r>
    <x v="6"/>
    <s v="Hibernia0012_dry_mixed_recycling"/>
    <s v="Waste"/>
    <x v="1"/>
    <n v="0"/>
    <n v="0"/>
    <n v="360.00001430511401"/>
    <n v="360.00001430511401"/>
    <s v="Non-hazardous waste"/>
    <n v="12"/>
    <x v="11"/>
  </r>
  <r>
    <x v="6"/>
    <s v="Hibernia0012_commercial_and_industrial_waste"/>
    <s v="Waste"/>
    <x v="2"/>
    <n v="154.00000102818001"/>
    <n v="0"/>
    <n v="0"/>
    <n v="154.00000102818001"/>
    <s v="Non-hazardous waste"/>
    <n v="1"/>
    <x v="0"/>
  </r>
  <r>
    <x v="6"/>
    <s v="Hibernia0012_commercial_and_industrial_waste"/>
    <s v="Waste"/>
    <x v="2"/>
    <n v="152.375001460313"/>
    <n v="0"/>
    <n v="0"/>
    <n v="152.375001460313"/>
    <s v="Non-hazardous waste"/>
    <n v="2"/>
    <x v="1"/>
  </r>
  <r>
    <x v="6"/>
    <s v="Hibernia0012_commercial_and_industrial_waste"/>
    <s v="Waste"/>
    <x v="2"/>
    <n v="142.50000193714999"/>
    <n v="0"/>
    <n v="0"/>
    <n v="142.50000193714999"/>
    <s v="Non-hazardous waste"/>
    <n v="3"/>
    <x v="2"/>
  </r>
  <r>
    <x v="6"/>
    <s v="Hibernia0012_commercial_and_industrial_waste"/>
    <s v="Waste"/>
    <x v="2"/>
    <n v="117.00000427663301"/>
    <n v="0"/>
    <n v="0"/>
    <n v="117.00000427663301"/>
    <s v="Non-hazardous waste"/>
    <n v="4"/>
    <x v="3"/>
  </r>
  <r>
    <x v="6"/>
    <s v="Hibernia0012_commercial_and_industrial_waste"/>
    <s v="Waste"/>
    <x v="2"/>
    <n v="187.99999728798801"/>
    <n v="0"/>
    <n v="0"/>
    <n v="187.99999728798801"/>
    <s v="Non-hazardous waste"/>
    <n v="5"/>
    <x v="4"/>
  </r>
  <r>
    <x v="6"/>
    <s v="Hibernia0012_commercial_and_industrial_waste"/>
    <s v="Waste"/>
    <x v="2"/>
    <n v="107.00000077486"/>
    <n v="0"/>
    <n v="0"/>
    <n v="107.00000077486"/>
    <s v="Non-hazardous waste"/>
    <n v="6"/>
    <x v="5"/>
  </r>
  <r>
    <x v="6"/>
    <s v="Hibernia0012_commercial_and_industrial_waste"/>
    <s v="Waste"/>
    <x v="2"/>
    <n v="45.7499993499368"/>
    <n v="0"/>
    <n v="0"/>
    <n v="45.7499993499368"/>
    <s v="Non-hazardous waste"/>
    <n v="7"/>
    <x v="6"/>
  </r>
  <r>
    <x v="6"/>
    <s v="Hibernia0012_commercial_and_industrial_waste"/>
    <s v="Waste"/>
    <x v="2"/>
    <n v="149.999999441206"/>
    <n v="0"/>
    <n v="0"/>
    <n v="149.999999441206"/>
    <s v="Non-hazardous waste"/>
    <n v="8"/>
    <x v="7"/>
  </r>
  <r>
    <x v="6"/>
    <s v="Hibernia0012_commercial_and_industrial_waste"/>
    <s v="Waste"/>
    <x v="2"/>
    <n v="186.000004410743"/>
    <n v="0"/>
    <n v="0"/>
    <n v="186.000004410743"/>
    <s v="Non-hazardous waste"/>
    <n v="9"/>
    <x v="8"/>
  </r>
  <r>
    <x v="6"/>
    <s v="Hibernia0012_commercial_and_industrial_waste"/>
    <s v="Waste"/>
    <x v="2"/>
    <n v="155.750002712011"/>
    <n v="0"/>
    <n v="0"/>
    <n v="155.750002712011"/>
    <s v="Non-hazardous waste"/>
    <n v="10"/>
    <x v="9"/>
  </r>
  <r>
    <x v="6"/>
    <s v="Hibernia0012_commercial_and_industrial_waste"/>
    <s v="Waste"/>
    <x v="2"/>
    <n v="169.11559924483299"/>
    <n v="0"/>
    <n v="0"/>
    <n v="169.11559924483299"/>
    <s v="Non-hazardous waste"/>
    <n v="11"/>
    <x v="10"/>
  </r>
  <r>
    <x v="6"/>
    <s v="Hibernia0012_commercial_and_industrial_waste"/>
    <s v="Waste"/>
    <x v="2"/>
    <n v="132.778100669384"/>
    <n v="0"/>
    <n v="0"/>
    <n v="132.778100669384"/>
    <s v="Non-hazardous waste"/>
    <n v="12"/>
    <x v="11"/>
  </r>
  <r>
    <x v="7"/>
    <s v="Hibernia0013_dry_mixed_recycling"/>
    <s v="Waste"/>
    <x v="1"/>
    <n v="0"/>
    <n v="0"/>
    <n v="37664"/>
    <n v="37664"/>
    <s v="Non-hazardous waste"/>
    <n v="1"/>
    <x v="0"/>
  </r>
  <r>
    <x v="7"/>
    <s v="Hibernia0013_dry_mixed_recycling"/>
    <s v="Waste"/>
    <x v="1"/>
    <n v="0"/>
    <n v="0"/>
    <n v="34420"/>
    <n v="34420"/>
    <s v="Non-hazardous waste"/>
    <n v="2"/>
    <x v="1"/>
  </r>
  <r>
    <x v="7"/>
    <s v="Hibernia0013_dry_mixed_recycling"/>
    <s v="Waste"/>
    <x v="1"/>
    <n v="0"/>
    <n v="0"/>
    <n v="28600"/>
    <n v="28600"/>
    <s v="Non-hazardous waste"/>
    <n v="3"/>
    <x v="2"/>
  </r>
  <r>
    <x v="7"/>
    <s v="Hibernia0013_dry_mixed_recycling"/>
    <s v="Waste"/>
    <x v="1"/>
    <n v="0"/>
    <n v="0"/>
    <n v="36340"/>
    <n v="36340"/>
    <s v="Non-hazardous waste"/>
    <n v="4"/>
    <x v="3"/>
  </r>
  <r>
    <x v="7"/>
    <s v="Hibernia0013_dry_mixed_recycling"/>
    <s v="Waste"/>
    <x v="1"/>
    <n v="0"/>
    <n v="0"/>
    <n v="49340"/>
    <n v="49340"/>
    <s v="Non-hazardous waste"/>
    <n v="5"/>
    <x v="4"/>
  </r>
  <r>
    <x v="7"/>
    <s v="Hibernia0013_dry_mixed_recycling"/>
    <s v="Waste"/>
    <x v="1"/>
    <n v="0"/>
    <n v="0"/>
    <n v="25540"/>
    <n v="25540"/>
    <s v="Non-hazardous waste"/>
    <n v="6"/>
    <x v="5"/>
  </r>
  <r>
    <x v="7"/>
    <s v="Hibernia0013_dry_mixed_recycling"/>
    <s v="Waste"/>
    <x v="1"/>
    <n v="0"/>
    <n v="0"/>
    <n v="38540"/>
    <n v="38540"/>
    <s v="Non-hazardous waste"/>
    <n v="7"/>
    <x v="6"/>
  </r>
  <r>
    <x v="7"/>
    <s v="Hibernia0013_dry_mixed_recycling"/>
    <s v="Waste"/>
    <x v="1"/>
    <n v="0"/>
    <n v="0"/>
    <n v="44000"/>
    <n v="44000"/>
    <s v="Non-hazardous waste"/>
    <n v="8"/>
    <x v="7"/>
  </r>
  <r>
    <x v="7"/>
    <s v="Hibernia0013_dry_mixed_recycling"/>
    <s v="Waste"/>
    <x v="1"/>
    <n v="0"/>
    <n v="0"/>
    <n v="27120"/>
    <n v="27120"/>
    <s v="Non-hazardous waste"/>
    <n v="9"/>
    <x v="8"/>
  </r>
  <r>
    <x v="7"/>
    <s v="Hibernia0013_dry_mixed_recycling"/>
    <s v="Waste"/>
    <x v="1"/>
    <n v="0"/>
    <n v="0"/>
    <n v="56240"/>
    <n v="56240"/>
    <s v="Non-hazardous waste"/>
    <n v="10"/>
    <x v="9"/>
  </r>
  <r>
    <x v="7"/>
    <s v="Hibernia0013_dry_mixed_recycling"/>
    <s v="Waste"/>
    <x v="1"/>
    <n v="0"/>
    <n v="0"/>
    <n v="19800"/>
    <n v="19800"/>
    <s v="Non-hazardous waste"/>
    <n v="11"/>
    <x v="10"/>
  </r>
  <r>
    <x v="7"/>
    <s v="Hibernia0013_dry_mixed_recycling"/>
    <s v="Waste"/>
    <x v="1"/>
    <n v="0"/>
    <n v="0"/>
    <n v="17400"/>
    <n v="17400"/>
    <s v="Non-hazardous waste"/>
    <n v="12"/>
    <x v="11"/>
  </r>
  <r>
    <x v="8"/>
    <s v="Hibernia0014_organic_waste"/>
    <s v="Waste"/>
    <x v="0"/>
    <n v="0"/>
    <n v="233.00000373274"/>
    <n v="0"/>
    <n v="233.00000373274"/>
    <s v="Non-hazardous waste"/>
    <n v="1"/>
    <x v="0"/>
  </r>
  <r>
    <x v="8"/>
    <s v="Hibernia0014_organic_waste"/>
    <s v="Waste"/>
    <x v="0"/>
    <n v="0"/>
    <n v="264.00000415742397"/>
    <n v="0"/>
    <n v="264.00000415742397"/>
    <s v="Non-hazardous waste"/>
    <n v="2"/>
    <x v="1"/>
  </r>
  <r>
    <x v="8"/>
    <s v="Hibernia0014_organic_waste"/>
    <s v="Waste"/>
    <x v="0"/>
    <n v="0"/>
    <n v="264.00000602006901"/>
    <n v="0"/>
    <n v="264.00000602006901"/>
    <s v="Non-hazardous waste"/>
    <n v="3"/>
    <x v="2"/>
  </r>
  <r>
    <x v="8"/>
    <s v="Hibernia0014_organic_waste"/>
    <s v="Waste"/>
    <x v="0"/>
    <n v="0"/>
    <n v="254.12500044330901"/>
    <n v="0"/>
    <n v="254.12500044330901"/>
    <s v="Non-hazardous waste"/>
    <n v="4"/>
    <x v="3"/>
  </r>
  <r>
    <x v="8"/>
    <s v="Hibernia0014_organic_waste"/>
    <s v="Waste"/>
    <x v="0"/>
    <n v="0"/>
    <n v="311.32290046662001"/>
    <n v="0"/>
    <n v="311.32290046662001"/>
    <s v="Non-hazardous waste"/>
    <n v="5"/>
    <x v="4"/>
  </r>
  <r>
    <x v="8"/>
    <s v="Hibernia0014_organic_waste"/>
    <s v="Waste"/>
    <x v="0"/>
    <n v="0"/>
    <n v="271.99999988079003"/>
    <n v="0"/>
    <n v="271.99999988079003"/>
    <s v="Non-hazardous waste"/>
    <n v="6"/>
    <x v="5"/>
  </r>
  <r>
    <x v="8"/>
    <s v="Hibernia0014_organic_waste"/>
    <s v="Waste"/>
    <x v="0"/>
    <n v="0"/>
    <n v="252.00000125914801"/>
    <n v="0"/>
    <n v="252.00000125914801"/>
    <s v="Non-hazardous waste"/>
    <n v="7"/>
    <x v="6"/>
  </r>
  <r>
    <x v="8"/>
    <s v="Hibernia0014_organic_waste"/>
    <s v="Waste"/>
    <x v="0"/>
    <n v="0"/>
    <n v="324.99999506399001"/>
    <n v="0"/>
    <n v="324.99999506399001"/>
    <s v="Non-hazardous waste"/>
    <n v="8"/>
    <x v="7"/>
  </r>
  <r>
    <x v="8"/>
    <s v="Hibernia0014_organic_waste"/>
    <s v="Waste"/>
    <x v="0"/>
    <n v="0"/>
    <n v="225.75000114738901"/>
    <n v="0"/>
    <n v="225.75000114738901"/>
    <s v="Non-hazardous waste"/>
    <n v="9"/>
    <x v="8"/>
  </r>
  <r>
    <x v="8"/>
    <s v="Hibernia0014_organic_waste"/>
    <s v="Waste"/>
    <x v="0"/>
    <n v="0"/>
    <n v="354.00000028312201"/>
    <n v="0"/>
    <n v="354.00000028312201"/>
    <s v="Non-hazardous waste"/>
    <n v="10"/>
    <x v="9"/>
  </r>
  <r>
    <x v="8"/>
    <s v="Hibernia0014_organic_waste"/>
    <s v="Waste"/>
    <x v="0"/>
    <n v="0"/>
    <n v="157.99999982118601"/>
    <n v="0"/>
    <n v="157.99999982118601"/>
    <s v="Non-hazardous waste"/>
    <n v="11"/>
    <x v="10"/>
  </r>
  <r>
    <x v="8"/>
    <s v="Hibernia0014_organic_waste"/>
    <s v="Waste"/>
    <x v="0"/>
    <n v="0"/>
    <n v="250.50000846385899"/>
    <n v="0"/>
    <n v="250.50000846385899"/>
    <s v="Non-hazardous waste"/>
    <n v="12"/>
    <x v="11"/>
  </r>
  <r>
    <x v="8"/>
    <s v="Hibernia0014_dry_mixed_recycling"/>
    <s v="Waste"/>
    <x v="1"/>
    <n v="0"/>
    <n v="0"/>
    <n v="560.10580621659699"/>
    <n v="560.10580621659699"/>
    <s v="Non-hazardous waste"/>
    <n v="1"/>
    <x v="0"/>
  </r>
  <r>
    <x v="8"/>
    <s v="Hibernia0014_dry_mixed_recycling"/>
    <s v="Waste"/>
    <x v="1"/>
    <n v="0"/>
    <n v="0"/>
    <n v="379.18419763445797"/>
    <n v="379.18419763445797"/>
    <s v="Non-hazardous waste"/>
    <n v="2"/>
    <x v="1"/>
  </r>
  <r>
    <x v="8"/>
    <s v="Hibernia0014_dry_mixed_recycling"/>
    <s v="Waste"/>
    <x v="1"/>
    <n v="0"/>
    <n v="0"/>
    <n v="442.91840307414498"/>
    <n v="442.91840307414498"/>
    <s v="Non-hazardous waste"/>
    <n v="3"/>
    <x v="2"/>
  </r>
  <r>
    <x v="8"/>
    <s v="Hibernia0014_dry_mixed_recycling"/>
    <s v="Waste"/>
    <x v="1"/>
    <n v="0"/>
    <n v="0"/>
    <n v="361.07160127721698"/>
    <n v="361.07160127721698"/>
    <s v="Non-hazardous waste"/>
    <n v="4"/>
    <x v="3"/>
  </r>
  <r>
    <x v="8"/>
    <s v="Hibernia0014_dry_mixed_recycling"/>
    <s v="Waste"/>
    <x v="1"/>
    <n v="0"/>
    <n v="0"/>
    <n v="356.94810003042198"/>
    <n v="356.94810003042198"/>
    <s v="Non-hazardous waste"/>
    <n v="5"/>
    <x v="4"/>
  </r>
  <r>
    <x v="8"/>
    <s v="Hibernia0014_dry_mixed_recycling"/>
    <s v="Waste"/>
    <x v="1"/>
    <n v="0"/>
    <n v="0"/>
    <n v="325.85139945149399"/>
    <n v="325.85139945149399"/>
    <s v="Non-hazardous waste"/>
    <n v="6"/>
    <x v="5"/>
  </r>
  <r>
    <x v="8"/>
    <s v="Hibernia0014_dry_mixed_recycling"/>
    <s v="Waste"/>
    <x v="1"/>
    <n v="0"/>
    <n v="0"/>
    <n v="367.79839918017291"/>
    <n v="367.79839918017291"/>
    <s v="Non-hazardous waste"/>
    <n v="7"/>
    <x v="6"/>
  </r>
  <r>
    <x v="8"/>
    <s v="Hibernia0014_dry_mixed_recycling"/>
    <s v="Waste"/>
    <x v="1"/>
    <n v="0"/>
    <n v="0"/>
    <n v="364.04969915747603"/>
    <n v="364.04969915747603"/>
    <s v="Non-hazardous waste"/>
    <n v="8"/>
    <x v="7"/>
  </r>
  <r>
    <x v="8"/>
    <s v="Hibernia0014_dry_mixed_recycling"/>
    <s v="Waste"/>
    <x v="1"/>
    <n v="0"/>
    <n v="0"/>
    <n v="310.04340387880802"/>
    <n v="310.04340387880802"/>
    <s v="Non-hazardous waste"/>
    <n v="9"/>
    <x v="8"/>
  </r>
  <r>
    <x v="8"/>
    <s v="Hibernia0014_dry_mixed_recycling"/>
    <s v="Waste"/>
    <x v="1"/>
    <n v="0"/>
    <n v="0"/>
    <n v="369.22100000083401"/>
    <n v="369.22100000083401"/>
    <s v="Non-hazardous waste"/>
    <n v="10"/>
    <x v="9"/>
  </r>
  <r>
    <x v="8"/>
    <s v="Hibernia0014_dry_mixed_recycling"/>
    <s v="Waste"/>
    <x v="1"/>
    <n v="0"/>
    <n v="0"/>
    <n v="273.26640300452698"/>
    <n v="273.26640300452698"/>
    <s v="Non-hazardous waste"/>
    <n v="11"/>
    <x v="10"/>
  </r>
  <r>
    <x v="8"/>
    <s v="Hibernia0014_dry_mixed_recycling"/>
    <s v="Waste"/>
    <x v="1"/>
    <n v="0"/>
    <n v="0"/>
    <n v="403.892204165458"/>
    <n v="403.892204165458"/>
    <s v="Non-hazardous waste"/>
    <n v="12"/>
    <x v="11"/>
  </r>
  <r>
    <x v="8"/>
    <s v="Hibernia0014_commercial_and_industrial_waste"/>
    <s v="Waste"/>
    <x v="2"/>
    <n v="742.61039867997101"/>
    <n v="0"/>
    <n v="0"/>
    <n v="742.61039867997101"/>
    <s v="Non-hazardous waste"/>
    <n v="1"/>
    <x v="0"/>
  </r>
  <r>
    <x v="8"/>
    <s v="Hibernia0014_commercial_and_industrial_waste"/>
    <s v="Waste"/>
    <x v="2"/>
    <n v="635.47090068459499"/>
    <n v="0"/>
    <n v="0"/>
    <n v="635.47090068459499"/>
    <s v="Non-hazardous waste"/>
    <n v="2"/>
    <x v="1"/>
  </r>
  <r>
    <x v="8"/>
    <s v="Hibernia0014_commercial_and_industrial_waste"/>
    <s v="Waste"/>
    <x v="2"/>
    <n v="970.00809386372498"/>
    <n v="0"/>
    <n v="0"/>
    <n v="970.00809386372498"/>
    <s v="Non-hazardous waste"/>
    <n v="3"/>
    <x v="2"/>
  </r>
  <r>
    <x v="8"/>
    <s v="Hibernia0014_commercial_and_industrial_waste"/>
    <s v="Waste"/>
    <x v="2"/>
    <n v="812.75639683008092"/>
    <n v="0"/>
    <n v="0"/>
    <n v="812.75639683008092"/>
    <s v="Non-hazardous waste"/>
    <n v="4"/>
    <x v="3"/>
  </r>
  <r>
    <x v="8"/>
    <s v="Hibernia0014_commercial_and_industrial_waste"/>
    <s v="Waste"/>
    <x v="2"/>
    <n v="779.000006616115"/>
    <n v="0"/>
    <n v="0"/>
    <n v="779.000006616115"/>
    <s v="Non-hazardous waste"/>
    <n v="5"/>
    <x v="4"/>
  </r>
  <r>
    <x v="8"/>
    <s v="Hibernia0014_commercial_and_industrial_waste"/>
    <s v="Waste"/>
    <x v="2"/>
    <n v="1155.8333020657301"/>
    <n v="0"/>
    <n v="0"/>
    <n v="1155.8333020657301"/>
    <s v="Non-hazardous waste"/>
    <n v="6"/>
    <x v="5"/>
  </r>
  <r>
    <x v="8"/>
    <s v="Hibernia0014_commercial_and_industrial_waste"/>
    <s v="Waste"/>
    <x v="2"/>
    <n v="732.00000450015"/>
    <n v="0"/>
    <n v="0"/>
    <n v="732.00000450015"/>
    <s v="Non-hazardous waste"/>
    <n v="7"/>
    <x v="6"/>
  </r>
  <r>
    <x v="8"/>
    <s v="Hibernia0014_commercial_and_industrial_waste"/>
    <s v="Waste"/>
    <x v="2"/>
    <n v="629.978606477379"/>
    <n v="0"/>
    <n v="0"/>
    <n v="629.978606477379"/>
    <s v="Non-hazardous waste"/>
    <n v="8"/>
    <x v="7"/>
  </r>
  <r>
    <x v="8"/>
    <s v="Hibernia0014_commercial_and_industrial_waste"/>
    <s v="Waste"/>
    <x v="2"/>
    <n v="594.77830119430996"/>
    <n v="0"/>
    <n v="0"/>
    <n v="594.77830119430996"/>
    <s v="Non-hazardous waste"/>
    <n v="9"/>
    <x v="8"/>
  </r>
  <r>
    <x v="8"/>
    <s v="Hibernia0014_commercial_and_industrial_waste"/>
    <s v="Waste"/>
    <x v="2"/>
    <n v="847.00001589953899"/>
    <n v="0"/>
    <n v="0"/>
    <n v="847.00001589953899"/>
    <s v="Non-hazardous waste"/>
    <n v="10"/>
    <x v="9"/>
  </r>
  <r>
    <x v="8"/>
    <s v="Hibernia0014_commercial_and_industrial_waste"/>
    <s v="Waste"/>
    <x v="2"/>
    <n v="590.20000509917702"/>
    <n v="0"/>
    <n v="0"/>
    <n v="590.20000509917702"/>
    <s v="Non-hazardous waste"/>
    <n v="11"/>
    <x v="10"/>
  </r>
  <r>
    <x v="8"/>
    <s v="Hibernia0014_commercial_and_industrial_waste"/>
    <s v="Waste"/>
    <x v="2"/>
    <n v="708.57110014185298"/>
    <n v="0"/>
    <n v="0"/>
    <n v="708.57110014185298"/>
    <s v="Non-hazardous waste"/>
    <n v="12"/>
    <x v="11"/>
  </r>
  <r>
    <x v="9"/>
    <s v="Hibernia0017_dry_mixed_recycling"/>
    <s v="Waste"/>
    <x v="1"/>
    <n v="0"/>
    <n v="0"/>
    <n v="138.7292817679558"/>
    <n v="138.7292817679558"/>
    <s v="Non-hazardous waste"/>
    <n v="1"/>
    <x v="0"/>
  </r>
  <r>
    <x v="9"/>
    <s v="Hibernia0017_dry_mixed_recycling"/>
    <s v="Waste"/>
    <x v="1"/>
    <n v="0"/>
    <n v="0"/>
    <n v="125.3038674033149"/>
    <n v="125.3038674033149"/>
    <s v="Non-hazardous waste"/>
    <n v="2"/>
    <x v="1"/>
  </r>
  <r>
    <x v="9"/>
    <s v="Hibernia0017_dry_mixed_recycling"/>
    <s v="Waste"/>
    <x v="1"/>
    <n v="0"/>
    <n v="0"/>
    <n v="138.7292817679558"/>
    <n v="138.7292817679558"/>
    <s v="Non-hazardous waste"/>
    <n v="3"/>
    <x v="2"/>
  </r>
  <r>
    <x v="9"/>
    <s v="Hibernia0017_dry_mixed_recycling"/>
    <s v="Waste"/>
    <x v="1"/>
    <n v="0"/>
    <n v="0"/>
    <n v="134.25414364640881"/>
    <n v="134.25414364640881"/>
    <s v="Non-hazardous waste"/>
    <n v="4"/>
    <x v="3"/>
  </r>
  <r>
    <x v="9"/>
    <s v="Hibernia0017_dry_mixed_recycling"/>
    <s v="Waste"/>
    <x v="1"/>
    <n v="0"/>
    <n v="0"/>
    <n v="138.7292817679558"/>
    <n v="138.7292817679558"/>
    <s v="Non-hazardous waste"/>
    <n v="5"/>
    <x v="4"/>
  </r>
  <r>
    <x v="9"/>
    <s v="Hibernia0017_dry_mixed_recycling"/>
    <s v="Waste"/>
    <x v="1"/>
    <n v="0"/>
    <n v="0"/>
    <n v="134.25414364640881"/>
    <n v="134.25414364640881"/>
    <s v="Non-hazardous waste"/>
    <n v="6"/>
    <x v="5"/>
  </r>
  <r>
    <x v="9"/>
    <s v="Hibernia0017_dry_mixed_recycling"/>
    <s v="Waste"/>
    <x v="1"/>
    <n v="0"/>
    <n v="0"/>
    <n v="124.67391304347829"/>
    <n v="124.67391304347829"/>
    <s v="Non-hazardous waste"/>
    <n v="7"/>
    <x v="6"/>
  </r>
  <r>
    <x v="9"/>
    <s v="Hibernia0017_dry_mixed_recycling"/>
    <s v="Waste"/>
    <x v="1"/>
    <n v="0"/>
    <n v="0"/>
    <n v="124.67391304347829"/>
    <n v="124.67391304347829"/>
    <s v="Non-hazardous waste"/>
    <n v="8"/>
    <x v="7"/>
  </r>
  <r>
    <x v="9"/>
    <s v="Hibernia0017_dry_mixed_recycling"/>
    <s v="Waste"/>
    <x v="1"/>
    <n v="0"/>
    <n v="0"/>
    <n v="120.6521739130435"/>
    <n v="120.6521739130435"/>
    <s v="Non-hazardous waste"/>
    <n v="9"/>
    <x v="8"/>
  </r>
  <r>
    <x v="9"/>
    <s v="Hibernia0017_dry_mixed_recycling"/>
    <s v="Waste"/>
    <x v="1"/>
    <n v="0"/>
    <n v="0"/>
    <n v="124.67391304347829"/>
    <n v="124.67391304347829"/>
    <s v="Non-hazardous waste"/>
    <n v="10"/>
    <x v="9"/>
  </r>
  <r>
    <x v="9"/>
    <s v="Hibernia0017_dry_mixed_recycling"/>
    <s v="Waste"/>
    <x v="1"/>
    <n v="0"/>
    <n v="0"/>
    <n v="120.6521739130435"/>
    <n v="120.6521739130435"/>
    <s v="Non-hazardous waste"/>
    <n v="11"/>
    <x v="10"/>
  </r>
  <r>
    <x v="9"/>
    <s v="Hibernia0017_dry_mixed_recycling"/>
    <s v="Waste"/>
    <x v="1"/>
    <n v="0"/>
    <n v="0"/>
    <n v="124.67391304347829"/>
    <n v="124.67391304347829"/>
    <s v="Non-hazardous waste"/>
    <n v="12"/>
    <x v="11"/>
  </r>
  <r>
    <x v="9"/>
    <s v="Hibernia0017_commercial_and_industrial_waste"/>
    <s v="Waste"/>
    <x v="2"/>
    <n v="210.66298342541441"/>
    <n v="0"/>
    <n v="0"/>
    <n v="210.66298342541441"/>
    <s v="Non-hazardous waste"/>
    <n v="1"/>
    <x v="0"/>
  </r>
  <r>
    <x v="9"/>
    <s v="Hibernia0017_commercial_and_industrial_waste"/>
    <s v="Waste"/>
    <x v="2"/>
    <n v="190.27624309392269"/>
    <n v="0"/>
    <n v="0"/>
    <n v="190.27624309392269"/>
    <s v="Non-hazardous waste"/>
    <n v="2"/>
    <x v="1"/>
  </r>
  <r>
    <x v="9"/>
    <s v="Hibernia0017_commercial_and_industrial_waste"/>
    <s v="Waste"/>
    <x v="2"/>
    <n v="210.66298342541441"/>
    <n v="0"/>
    <n v="0"/>
    <n v="210.66298342541441"/>
    <s v="Non-hazardous waste"/>
    <n v="3"/>
    <x v="2"/>
  </r>
  <r>
    <x v="9"/>
    <s v="Hibernia0017_commercial_and_industrial_waste"/>
    <s v="Waste"/>
    <x v="2"/>
    <n v="203.86740331491711"/>
    <n v="0"/>
    <n v="0"/>
    <n v="203.86740331491711"/>
    <s v="Non-hazardous waste"/>
    <n v="4"/>
    <x v="3"/>
  </r>
  <r>
    <x v="9"/>
    <s v="Hibernia0017_commercial_and_industrial_waste"/>
    <s v="Waste"/>
    <x v="2"/>
    <n v="210.66298342541441"/>
    <n v="0"/>
    <n v="0"/>
    <n v="210.66298342541441"/>
    <s v="Non-hazardous waste"/>
    <n v="5"/>
    <x v="4"/>
  </r>
  <r>
    <x v="9"/>
    <s v="Hibernia0017_commercial_and_industrial_waste"/>
    <s v="Waste"/>
    <x v="2"/>
    <n v="203.86740331491711"/>
    <n v="0"/>
    <n v="0"/>
    <n v="203.86740331491711"/>
    <s v="Non-hazardous waste"/>
    <n v="6"/>
    <x v="5"/>
  </r>
  <r>
    <x v="9"/>
    <s v="Hibernia0017_commercial_and_industrial_waste"/>
    <s v="Waste"/>
    <x v="2"/>
    <n v="240.92391304347831"/>
    <n v="0"/>
    <n v="0"/>
    <n v="240.92391304347831"/>
    <s v="Non-hazardous waste"/>
    <n v="7"/>
    <x v="6"/>
  </r>
  <r>
    <x v="9"/>
    <s v="Hibernia0017_commercial_and_industrial_waste"/>
    <s v="Waste"/>
    <x v="2"/>
    <n v="240.92391304347831"/>
    <n v="0"/>
    <n v="0"/>
    <n v="240.92391304347831"/>
    <s v="Non-hazardous waste"/>
    <n v="8"/>
    <x v="7"/>
  </r>
  <r>
    <x v="9"/>
    <s v="Hibernia0017_commercial_and_industrial_waste"/>
    <s v="Waste"/>
    <x v="2"/>
    <n v="233.1521739130435"/>
    <n v="0"/>
    <n v="0"/>
    <n v="233.1521739130435"/>
    <s v="Non-hazardous waste"/>
    <n v="9"/>
    <x v="8"/>
  </r>
  <r>
    <x v="9"/>
    <s v="Hibernia0017_commercial_and_industrial_waste"/>
    <s v="Waste"/>
    <x v="2"/>
    <n v="240.92391304347831"/>
    <n v="0"/>
    <n v="0"/>
    <n v="240.92391304347831"/>
    <s v="Non-hazardous waste"/>
    <n v="10"/>
    <x v="9"/>
  </r>
  <r>
    <x v="9"/>
    <s v="Hibernia0017_commercial_and_industrial_waste"/>
    <s v="Waste"/>
    <x v="2"/>
    <n v="233.1521739130435"/>
    <n v="0"/>
    <n v="0"/>
    <n v="233.1521739130435"/>
    <s v="Non-hazardous waste"/>
    <n v="11"/>
    <x v="10"/>
  </r>
  <r>
    <x v="9"/>
    <s v="Hibernia0017_commercial_and_industrial_waste"/>
    <s v="Waste"/>
    <x v="2"/>
    <n v="240.92391304347831"/>
    <n v="0"/>
    <n v="0"/>
    <n v="240.92391304347831"/>
    <s v="Non-hazardous waste"/>
    <n v="12"/>
    <x v="11"/>
  </r>
  <r>
    <x v="10"/>
    <s v="Hibernia0023_organic_waste"/>
    <s v="Waste"/>
    <x v="0"/>
    <n v="0"/>
    <n v="721.81818181818187"/>
    <n v="0"/>
    <n v="722"/>
    <s v="Non-hazardous waste"/>
    <n v="1"/>
    <x v="0"/>
  </r>
  <r>
    <x v="10"/>
    <s v="Hibernia0023_organic_waste"/>
    <s v="Waste"/>
    <x v="0"/>
    <n v="0"/>
    <n v="220"/>
    <n v="0"/>
    <n v="220"/>
    <s v="Non-hazardous waste"/>
    <n v="2"/>
    <x v="1"/>
  </r>
  <r>
    <x v="10"/>
    <s v="Hibernia0023_organic_waste"/>
    <s v="Waste"/>
    <x v="0"/>
    <n v="0"/>
    <n v="590"/>
    <n v="0"/>
    <n v="590"/>
    <s v="Non-hazardous waste"/>
    <n v="3"/>
    <x v="2"/>
  </r>
  <r>
    <x v="10"/>
    <s v="Hibernia0023_organic_waste"/>
    <s v="Waste"/>
    <x v="0"/>
    <n v="0"/>
    <n v="810"/>
    <n v="0"/>
    <n v="810"/>
    <s v="Non-hazardous waste"/>
    <n v="4"/>
    <x v="3"/>
  </r>
  <r>
    <x v="10"/>
    <s v="Hibernia0023_organic_waste"/>
    <s v="Waste"/>
    <x v="0"/>
    <n v="0"/>
    <n v="740"/>
    <n v="0"/>
    <n v="740"/>
    <s v="Non-hazardous waste"/>
    <n v="5"/>
    <x v="4"/>
  </r>
  <r>
    <x v="10"/>
    <s v="Hibernia0023_organic_waste"/>
    <s v="Waste"/>
    <x v="0"/>
    <n v="0"/>
    <n v="790"/>
    <n v="0"/>
    <n v="790"/>
    <s v="Non-hazardous waste"/>
    <n v="6"/>
    <x v="5"/>
  </r>
  <r>
    <x v="10"/>
    <s v="Hibernia0023_organic_waste"/>
    <s v="Waste"/>
    <x v="0"/>
    <n v="0"/>
    <n v="940"/>
    <n v="0"/>
    <n v="940"/>
    <s v="Non-hazardous waste"/>
    <n v="7"/>
    <x v="6"/>
  </r>
  <r>
    <x v="10"/>
    <s v="Hibernia0023_organic_waste"/>
    <s v="Waste"/>
    <x v="0"/>
    <n v="0"/>
    <n v="660"/>
    <n v="0"/>
    <n v="660"/>
    <s v="Non-hazardous waste"/>
    <n v="8"/>
    <x v="7"/>
  </r>
  <r>
    <x v="10"/>
    <s v="Hibernia0023_organic_waste"/>
    <s v="Waste"/>
    <x v="0"/>
    <n v="0"/>
    <n v="780"/>
    <n v="0"/>
    <n v="780"/>
    <s v="Non-hazardous waste"/>
    <n v="9"/>
    <x v="8"/>
  </r>
  <r>
    <x v="10"/>
    <s v="Hibernia0023_organic_waste"/>
    <s v="Waste"/>
    <x v="0"/>
    <n v="0"/>
    <n v="750"/>
    <n v="0"/>
    <n v="750"/>
    <s v="Non-hazardous waste"/>
    <n v="10"/>
    <x v="9"/>
  </r>
  <r>
    <x v="10"/>
    <s v="Hibernia0023_organic_waste"/>
    <s v="Waste"/>
    <x v="0"/>
    <n v="0"/>
    <n v="700"/>
    <n v="0"/>
    <n v="700"/>
    <s v="Non-hazardous waste"/>
    <n v="11"/>
    <x v="10"/>
  </r>
  <r>
    <x v="10"/>
    <s v="Hibernia0023_organic_waste"/>
    <s v="Waste"/>
    <x v="0"/>
    <n v="10"/>
    <n v="960"/>
    <n v="0"/>
    <n v="960"/>
    <s v="Non-hazardous waste"/>
    <n v="12"/>
    <x v="11"/>
  </r>
  <r>
    <x v="10"/>
    <s v="Hibernia0023_dry_mixed_recycling"/>
    <s v="Waste"/>
    <x v="1"/>
    <n v="0"/>
    <n v="0"/>
    <n v="4100.909090909091"/>
    <n v="4101"/>
    <s v="Non-hazardous waste"/>
    <n v="1"/>
    <x v="0"/>
  </r>
  <r>
    <x v="10"/>
    <s v="Hibernia0023_dry_mixed_recycling"/>
    <s v="Waste"/>
    <x v="1"/>
    <n v="0"/>
    <n v="0"/>
    <n v="1630"/>
    <n v="1630"/>
    <s v="Non-hazardous waste"/>
    <n v="2"/>
    <x v="1"/>
  </r>
  <r>
    <x v="10"/>
    <s v="Hibernia0023_dry_mixed_recycling"/>
    <s v="Waste"/>
    <x v="1"/>
    <n v="0"/>
    <n v="0"/>
    <n v="5290"/>
    <n v="5290"/>
    <s v="Non-hazardous waste"/>
    <n v="3"/>
    <x v="2"/>
  </r>
  <r>
    <x v="10"/>
    <s v="Hibernia0023_dry_mixed_recycling"/>
    <s v="Waste"/>
    <x v="1"/>
    <n v="0"/>
    <n v="0"/>
    <n v="2250"/>
    <n v="2250"/>
    <s v="Non-hazardous waste"/>
    <n v="4"/>
    <x v="3"/>
  </r>
  <r>
    <x v="10"/>
    <s v="Hibernia0023_dry_mixed_recycling"/>
    <s v="Waste"/>
    <x v="1"/>
    <n v="0"/>
    <n v="0"/>
    <n v="4230"/>
    <n v="4230"/>
    <s v="Non-hazardous waste"/>
    <n v="5"/>
    <x v="4"/>
  </r>
  <r>
    <x v="10"/>
    <s v="Hibernia0023_dry_mixed_recycling"/>
    <s v="Waste"/>
    <x v="1"/>
    <n v="0"/>
    <n v="0"/>
    <n v="4650"/>
    <n v="4650"/>
    <s v="Non-hazardous waste"/>
    <n v="6"/>
    <x v="5"/>
  </r>
  <r>
    <x v="10"/>
    <s v="Hibernia0023_dry_mixed_recycling"/>
    <s v="Waste"/>
    <x v="1"/>
    <n v="0"/>
    <n v="0"/>
    <n v="5650"/>
    <n v="5650"/>
    <s v="Non-hazardous waste"/>
    <n v="7"/>
    <x v="6"/>
  </r>
  <r>
    <x v="10"/>
    <s v="Hibernia0023_dry_mixed_recycling"/>
    <s v="Waste"/>
    <x v="1"/>
    <n v="0"/>
    <n v="0"/>
    <n v="2550"/>
    <n v="2550"/>
    <s v="Non-hazardous waste"/>
    <n v="8"/>
    <x v="7"/>
  </r>
  <r>
    <x v="10"/>
    <s v="Hibernia0023_dry_mixed_recycling"/>
    <s v="Waste"/>
    <x v="1"/>
    <n v="0"/>
    <n v="0"/>
    <n v="5340"/>
    <n v="5340"/>
    <s v="Non-hazardous waste"/>
    <n v="9"/>
    <x v="8"/>
  </r>
  <r>
    <x v="10"/>
    <s v="Hibernia0023_dry_mixed_recycling"/>
    <s v="Waste"/>
    <x v="1"/>
    <n v="0"/>
    <n v="0"/>
    <n v="2820"/>
    <n v="2820"/>
    <s v="Non-hazardous waste"/>
    <n v="10"/>
    <x v="9"/>
  </r>
  <r>
    <x v="10"/>
    <s v="Hibernia0023_dry_mixed_recycling"/>
    <s v="Waste"/>
    <x v="1"/>
    <n v="0"/>
    <n v="0"/>
    <n v="4570"/>
    <n v="4570"/>
    <s v="Non-hazardous waste"/>
    <n v="11"/>
    <x v="10"/>
  </r>
  <r>
    <x v="10"/>
    <s v="Hibernia0023_dry_mixed_recycling"/>
    <s v="Waste"/>
    <x v="1"/>
    <n v="0"/>
    <n v="0"/>
    <n v="6130"/>
    <n v="6130"/>
    <s v="Non-hazardous waste"/>
    <n v="12"/>
    <x v="11"/>
  </r>
  <r>
    <x v="10"/>
    <s v="Hibernia0023_commercial_and_industrial_waste"/>
    <s v="Waste"/>
    <x v="2"/>
    <n v="5355.454545454545"/>
    <n v="0"/>
    <n v="0"/>
    <n v="5355"/>
    <s v="Non-hazardous waste"/>
    <n v="1"/>
    <x v="0"/>
  </r>
  <r>
    <x v="10"/>
    <s v="Hibernia0023_commercial_and_industrial_waste"/>
    <s v="Waste"/>
    <x v="2"/>
    <n v="3420"/>
    <n v="0"/>
    <n v="0"/>
    <n v="3420"/>
    <s v="Non-hazardous waste"/>
    <n v="2"/>
    <x v="1"/>
  </r>
  <r>
    <x v="10"/>
    <s v="Hibernia0023_commercial_and_industrial_waste"/>
    <s v="Waste"/>
    <x v="2"/>
    <n v="3770"/>
    <n v="0"/>
    <n v="0"/>
    <n v="3770"/>
    <s v="Non-hazardous waste"/>
    <n v="3"/>
    <x v="2"/>
  </r>
  <r>
    <x v="10"/>
    <s v="Hibernia0023_commercial_and_industrial_waste"/>
    <s v="Waste"/>
    <x v="2"/>
    <n v="5090"/>
    <n v="0"/>
    <n v="0"/>
    <n v="5090"/>
    <s v="Non-hazardous waste"/>
    <n v="4"/>
    <x v="3"/>
  </r>
  <r>
    <x v="10"/>
    <s v="Hibernia0023_commercial_and_industrial_waste"/>
    <s v="Waste"/>
    <x v="2"/>
    <n v="7190"/>
    <n v="0"/>
    <n v="0"/>
    <n v="7190"/>
    <s v="Non-hazardous waste"/>
    <n v="5"/>
    <x v="4"/>
  </r>
  <r>
    <x v="10"/>
    <s v="Hibernia0023_commercial_and_industrial_waste"/>
    <s v="Waste"/>
    <x v="2"/>
    <n v="6520"/>
    <n v="0"/>
    <n v="0"/>
    <n v="6520"/>
    <s v="Non-hazardous waste"/>
    <n v="6"/>
    <x v="5"/>
  </r>
  <r>
    <x v="10"/>
    <s v="Hibernia0023_commercial_and_industrial_waste"/>
    <s v="Waste"/>
    <x v="2"/>
    <n v="6140"/>
    <n v="0"/>
    <n v="0"/>
    <n v="6140"/>
    <s v="Non-hazardous waste"/>
    <n v="7"/>
    <x v="6"/>
  </r>
  <r>
    <x v="10"/>
    <s v="Hibernia0023_commercial_and_industrial_waste"/>
    <s v="Waste"/>
    <x v="2"/>
    <n v="4720"/>
    <n v="0"/>
    <n v="0"/>
    <n v="4720"/>
    <s v="Non-hazardous waste"/>
    <n v="8"/>
    <x v="7"/>
  </r>
  <r>
    <x v="10"/>
    <s v="Hibernia0023_commercial_and_industrial_waste"/>
    <s v="Waste"/>
    <x v="2"/>
    <n v="4560"/>
    <n v="0"/>
    <n v="0"/>
    <n v="4560"/>
    <s v="Non-hazardous waste"/>
    <n v="9"/>
    <x v="8"/>
  </r>
  <r>
    <x v="10"/>
    <s v="Hibernia0023_commercial_and_industrial_waste"/>
    <s v="Waste"/>
    <x v="2"/>
    <n v="6610"/>
    <n v="0"/>
    <n v="0"/>
    <n v="6610"/>
    <s v="Non-hazardous waste"/>
    <n v="10"/>
    <x v="9"/>
  </r>
  <r>
    <x v="10"/>
    <s v="Hibernia0023_commercial_and_industrial_waste"/>
    <s v="Waste"/>
    <x v="2"/>
    <n v="5060"/>
    <n v="0"/>
    <n v="0"/>
    <n v="5060"/>
    <s v="Non-hazardous waste"/>
    <n v="12"/>
    <x v="11"/>
  </r>
  <r>
    <x v="10"/>
    <s v="Hibernia0023_commercial_and_industrial_waste"/>
    <s v="Waste"/>
    <x v="2"/>
    <n v="5830"/>
    <n v="0"/>
    <n v="0"/>
    <n v="5830"/>
    <s v="Non-hazardous waste"/>
    <n v="12"/>
    <x v="11"/>
  </r>
  <r>
    <x v="11"/>
    <s v="Hibernia0016_organic_waste"/>
    <s v="Waste"/>
    <x v="0"/>
    <m/>
    <n v="0"/>
    <m/>
    <n v="0"/>
    <m/>
    <n v="1"/>
    <x v="0"/>
  </r>
  <r>
    <x v="11"/>
    <s v="Hibernia0016_organic_waste"/>
    <s v="Waste"/>
    <x v="0"/>
    <m/>
    <n v="0"/>
    <m/>
    <n v="0"/>
    <m/>
    <n v="2"/>
    <x v="1"/>
  </r>
  <r>
    <x v="11"/>
    <s v="Hibernia0016_organic_waste"/>
    <s v="Waste"/>
    <x v="0"/>
    <m/>
    <n v="0"/>
    <m/>
    <n v="0"/>
    <m/>
    <n v="3"/>
    <x v="2"/>
  </r>
  <r>
    <x v="11"/>
    <s v="Hibernia0016_organic_waste"/>
    <s v="Waste"/>
    <x v="0"/>
    <m/>
    <n v="0"/>
    <m/>
    <n v="0"/>
    <m/>
    <n v="4"/>
    <x v="3"/>
  </r>
  <r>
    <x v="11"/>
    <s v="Hibernia0016_organic_waste"/>
    <s v="Waste"/>
    <x v="0"/>
    <m/>
    <n v="30"/>
    <m/>
    <n v="30"/>
    <m/>
    <n v="5"/>
    <x v="4"/>
  </r>
  <r>
    <x v="11"/>
    <s v="Hibernia0016_organic_waste"/>
    <s v="Waste"/>
    <x v="0"/>
    <m/>
    <n v="60"/>
    <m/>
    <n v="60"/>
    <m/>
    <n v="6"/>
    <x v="5"/>
  </r>
  <r>
    <x v="11"/>
    <s v="Hibernia0016_organic_waste"/>
    <s v="Waste"/>
    <x v="0"/>
    <m/>
    <n v="60"/>
    <m/>
    <n v="60"/>
    <m/>
    <n v="7"/>
    <x v="6"/>
  </r>
  <r>
    <x v="11"/>
    <s v="Hibernia0016_organic_waste"/>
    <s v="Waste"/>
    <x v="0"/>
    <m/>
    <n v="50"/>
    <m/>
    <n v="50"/>
    <m/>
    <n v="8"/>
    <x v="7"/>
  </r>
  <r>
    <x v="11"/>
    <s v="Hibernia0016_organic_waste"/>
    <s v="Waste"/>
    <x v="0"/>
    <m/>
    <n v="30"/>
    <m/>
    <n v="30"/>
    <m/>
    <n v="9"/>
    <x v="8"/>
  </r>
  <r>
    <x v="11"/>
    <s v="Hibernia0016_organic_waste"/>
    <s v="Waste"/>
    <x v="0"/>
    <m/>
    <n v="150"/>
    <m/>
    <n v="150"/>
    <m/>
    <n v="10"/>
    <x v="9"/>
  </r>
  <r>
    <x v="11"/>
    <s v="Hibernia0016_dry_mixed_recycling"/>
    <s v="Waste"/>
    <x v="1"/>
    <m/>
    <m/>
    <n v="190"/>
    <n v="190"/>
    <m/>
    <n v="1"/>
    <x v="0"/>
  </r>
  <r>
    <x v="11"/>
    <s v="Hibernia0016_dry_mixed_recycling"/>
    <s v="Waste"/>
    <x v="1"/>
    <m/>
    <m/>
    <n v="180"/>
    <n v="180"/>
    <m/>
    <n v="2"/>
    <x v="1"/>
  </r>
  <r>
    <x v="11"/>
    <s v="Hibernia0016_dry_mixed_recycling"/>
    <s v="Waste"/>
    <x v="1"/>
    <m/>
    <m/>
    <n v="140"/>
    <n v="140"/>
    <m/>
    <n v="3"/>
    <x v="2"/>
  </r>
  <r>
    <x v="11"/>
    <s v="Hibernia0016_dry_mixed_recycling"/>
    <s v="Waste"/>
    <x v="1"/>
    <m/>
    <m/>
    <n v="310"/>
    <n v="310"/>
    <m/>
    <n v="4"/>
    <x v="3"/>
  </r>
  <r>
    <x v="11"/>
    <s v="Hibernia0016_dry_mixed_recycling"/>
    <s v="Waste"/>
    <x v="1"/>
    <m/>
    <m/>
    <n v="300"/>
    <n v="300"/>
    <m/>
    <n v="5"/>
    <x v="4"/>
  </r>
  <r>
    <x v="11"/>
    <s v="Hibernia0016_dry_mixed_recycling"/>
    <s v="Waste"/>
    <x v="1"/>
    <m/>
    <m/>
    <n v="160"/>
    <n v="160"/>
    <m/>
    <n v="6"/>
    <x v="5"/>
  </r>
  <r>
    <x v="11"/>
    <s v="Hibernia0016_dry_mixed_recycling"/>
    <s v="Waste"/>
    <x v="1"/>
    <m/>
    <m/>
    <n v="200"/>
    <n v="200"/>
    <m/>
    <n v="7"/>
    <x v="6"/>
  </r>
  <r>
    <x v="11"/>
    <s v="Hibernia0016_dry_mixed_recycling"/>
    <s v="Waste"/>
    <x v="1"/>
    <m/>
    <m/>
    <n v="220"/>
    <n v="220"/>
    <m/>
    <n v="8"/>
    <x v="7"/>
  </r>
  <r>
    <x v="11"/>
    <s v="Hibernia0016_dry_mixed_recycling"/>
    <s v="Waste"/>
    <x v="1"/>
    <m/>
    <m/>
    <n v="250"/>
    <n v="250"/>
    <m/>
    <n v="9"/>
    <x v="8"/>
  </r>
  <r>
    <x v="11"/>
    <s v="Hibernia0016_dry_mixed_recycling"/>
    <s v="Waste"/>
    <x v="1"/>
    <m/>
    <m/>
    <n v="380"/>
    <n v="380"/>
    <m/>
    <n v="10"/>
    <x v="9"/>
  </r>
  <r>
    <x v="11"/>
    <s v="Hibernia0016_commercial_and_industrial_waste"/>
    <s v="Waste"/>
    <x v="2"/>
    <n v="1270"/>
    <m/>
    <m/>
    <n v="1270"/>
    <m/>
    <n v="1"/>
    <x v="0"/>
  </r>
  <r>
    <x v="11"/>
    <s v="Hibernia0016_commercial_and_industrial_waste"/>
    <s v="Waste"/>
    <x v="2"/>
    <n v="1930"/>
    <m/>
    <m/>
    <n v="1930"/>
    <m/>
    <n v="2"/>
    <x v="1"/>
  </r>
  <r>
    <x v="11"/>
    <s v="Hibernia0016_commercial_and_industrial_waste"/>
    <s v="Waste"/>
    <x v="2"/>
    <n v="890"/>
    <m/>
    <m/>
    <n v="890"/>
    <m/>
    <n v="3"/>
    <x v="2"/>
  </r>
  <r>
    <x v="11"/>
    <s v="Hibernia0016_commercial_and_industrial_waste"/>
    <s v="Waste"/>
    <x v="2"/>
    <n v="1090"/>
    <m/>
    <m/>
    <n v="1090"/>
    <m/>
    <n v="4"/>
    <x v="3"/>
  </r>
  <r>
    <x v="11"/>
    <s v="Hibernia0016_commercial_and_industrial_waste"/>
    <s v="Waste"/>
    <x v="2"/>
    <n v="910"/>
    <m/>
    <m/>
    <n v="910"/>
    <m/>
    <n v="5"/>
    <x v="4"/>
  </r>
  <r>
    <x v="11"/>
    <s v="Hibernia0016_commercial_and_industrial_waste"/>
    <s v="Waste"/>
    <x v="2"/>
    <n v="800"/>
    <m/>
    <m/>
    <n v="800"/>
    <m/>
    <n v="6"/>
    <x v="5"/>
  </r>
  <r>
    <x v="11"/>
    <s v="Hibernia0016_commercial_and_industrial_waste"/>
    <s v="Waste"/>
    <x v="2"/>
    <n v="1040"/>
    <m/>
    <m/>
    <n v="1040"/>
    <m/>
    <n v="7"/>
    <x v="6"/>
  </r>
  <r>
    <x v="11"/>
    <s v="Hibernia0016_commercial_and_industrial_waste"/>
    <s v="Waste"/>
    <x v="2"/>
    <n v="850"/>
    <m/>
    <m/>
    <n v="850"/>
    <m/>
    <n v="8"/>
    <x v="7"/>
  </r>
  <r>
    <x v="11"/>
    <s v="Hibernia0016_commercial_and_industrial_waste"/>
    <s v="Waste"/>
    <x v="2"/>
    <n v="790"/>
    <m/>
    <m/>
    <n v="790"/>
    <m/>
    <n v="9"/>
    <x v="8"/>
  </r>
  <r>
    <x v="11"/>
    <s v="Hibernia0016_commercial_and_industrial_waste"/>
    <s v="Waste"/>
    <x v="2"/>
    <n v="1130"/>
    <m/>
    <m/>
    <n v="1130"/>
    <m/>
    <n v="10"/>
    <x v="9"/>
  </r>
  <r>
    <x v="12"/>
    <s v="Hibernia0006_organic_waste"/>
    <s v="Waste"/>
    <x v="0"/>
    <m/>
    <n v="228"/>
    <m/>
    <n v="228"/>
    <s v="Non-hazardous waste"/>
    <n v="1"/>
    <x v="0"/>
  </r>
  <r>
    <x v="12"/>
    <s v="Hibernia0006_organic_waste"/>
    <s v="Waste"/>
    <x v="0"/>
    <m/>
    <n v="328"/>
    <m/>
    <n v="328"/>
    <s v="Non-hazardous waste"/>
    <n v="2"/>
    <x v="1"/>
  </r>
  <r>
    <x v="12"/>
    <s v="Hibernia0006_organic_waste"/>
    <s v="Waste"/>
    <x v="0"/>
    <m/>
    <n v="168"/>
    <m/>
    <n v="168"/>
    <s v="Non-hazardous waste"/>
    <n v="3"/>
    <x v="2"/>
  </r>
  <r>
    <x v="12"/>
    <s v="Hibernia0006_dry_mixed_recycling"/>
    <s v="Waste"/>
    <x v="1"/>
    <m/>
    <m/>
    <n v="596"/>
    <n v="596"/>
    <s v="Non-hazardous waste"/>
    <n v="1"/>
    <x v="0"/>
  </r>
  <r>
    <x v="12"/>
    <s v="Hibernia0006_dry_mixed_recycling"/>
    <s v="Waste"/>
    <x v="1"/>
    <m/>
    <m/>
    <n v="255"/>
    <n v="255"/>
    <s v="Non-hazardous waste"/>
    <n v="2"/>
    <x v="1"/>
  </r>
  <r>
    <x v="12"/>
    <s v="Hibernia0006_dry_mixed_recycling"/>
    <s v="Waste"/>
    <x v="1"/>
    <m/>
    <m/>
    <n v="331"/>
    <n v="331"/>
    <s v="Non-hazardous waste"/>
    <n v="3"/>
    <x v="2"/>
  </r>
  <r>
    <x v="12"/>
    <s v="Hibernia0006_commercial_and_industrial_waste"/>
    <s v="Waste"/>
    <x v="2"/>
    <n v="391"/>
    <m/>
    <m/>
    <n v="391"/>
    <s v="Non-hazardous waste"/>
    <n v="1"/>
    <x v="0"/>
  </r>
  <r>
    <x v="12"/>
    <s v="Hibernia0006_commercial_and_industrial_waste"/>
    <s v="Waste"/>
    <x v="2"/>
    <n v="502"/>
    <m/>
    <m/>
    <n v="502"/>
    <s v="Non-hazardous waste"/>
    <n v="2"/>
    <x v="1"/>
  </r>
  <r>
    <x v="12"/>
    <s v="Hibernia0006_commercial_and_industrial_waste"/>
    <s v="Waste"/>
    <x v="2"/>
    <n v="591"/>
    <m/>
    <m/>
    <n v="591"/>
    <s v="Non-hazardous waste"/>
    <n v="3"/>
    <x v="2"/>
  </r>
  <r>
    <x v="13"/>
    <s v="Hibernia0010_organic_waste"/>
    <s v="Waste"/>
    <x v="0"/>
    <m/>
    <n v="14"/>
    <m/>
    <n v="14"/>
    <s v="Non-hazardous waste"/>
    <m/>
    <x v="0"/>
  </r>
  <r>
    <x v="13"/>
    <s v="Hibernia0010_organic_waste"/>
    <s v="Waste"/>
    <x v="0"/>
    <m/>
    <n v="16"/>
    <m/>
    <n v="16"/>
    <s v="Non-hazardous waste"/>
    <m/>
    <x v="1"/>
  </r>
  <r>
    <x v="13"/>
    <s v="Hibernia0010_organic_waste"/>
    <s v="Waste"/>
    <x v="0"/>
    <m/>
    <n v="15"/>
    <m/>
    <n v="15"/>
    <s v="Non-hazardous waste"/>
    <m/>
    <x v="2"/>
  </r>
  <r>
    <x v="13"/>
    <s v="Hibernia0010_organic_waste"/>
    <s v="Waste"/>
    <x v="0"/>
    <m/>
    <n v="15"/>
    <m/>
    <n v="15"/>
    <s v="Non-hazardous waste"/>
    <m/>
    <x v="3"/>
  </r>
  <r>
    <x v="13"/>
    <s v="Hibernia0010_organic_waste"/>
    <s v="Waste"/>
    <x v="0"/>
    <m/>
    <n v="57"/>
    <m/>
    <n v="57"/>
    <s v="Non-hazardous waste"/>
    <m/>
    <x v="4"/>
  </r>
  <r>
    <x v="13"/>
    <s v="Hibernia0010_organic_waste"/>
    <s v="Waste"/>
    <x v="0"/>
    <m/>
    <n v="26"/>
    <m/>
    <n v="26"/>
    <s v="Non-hazardous waste"/>
    <m/>
    <x v="5"/>
  </r>
  <r>
    <x v="13"/>
    <s v="Hibernia0010_organic_waste"/>
    <s v="Waste"/>
    <x v="0"/>
    <m/>
    <n v="37"/>
    <m/>
    <n v="37"/>
    <s v="Non-hazardous waste"/>
    <m/>
    <x v="6"/>
  </r>
  <r>
    <x v="13"/>
    <s v="Hibernia0010_organic_waste"/>
    <s v="Waste"/>
    <x v="0"/>
    <m/>
    <n v="29"/>
    <m/>
    <n v="29"/>
    <s v="Non-hazardous waste"/>
    <m/>
    <x v="7"/>
  </r>
  <r>
    <x v="13"/>
    <s v="Hibernia0010_organic_waste"/>
    <s v="Waste"/>
    <x v="0"/>
    <m/>
    <n v="14"/>
    <m/>
    <n v="14"/>
    <s v="Non-hazardous waste"/>
    <m/>
    <x v="8"/>
  </r>
  <r>
    <x v="13"/>
    <s v="Hibernia0010_organic_waste"/>
    <s v="Waste"/>
    <x v="0"/>
    <m/>
    <n v="36"/>
    <m/>
    <n v="36"/>
    <s v="Non-hazardous waste"/>
    <m/>
    <x v="9"/>
  </r>
  <r>
    <x v="13"/>
    <s v="Hibernia0010_organic_waste"/>
    <s v="Waste"/>
    <x v="0"/>
    <m/>
    <n v="28"/>
    <m/>
    <n v="28"/>
    <s v="Non-hazardous waste"/>
    <m/>
    <x v="10"/>
  </r>
  <r>
    <x v="13"/>
    <s v="Hibernia0010_organic_waste"/>
    <s v="Waste"/>
    <x v="0"/>
    <m/>
    <n v="30"/>
    <m/>
    <n v="30"/>
    <s v="Non-hazardous waste"/>
    <m/>
    <x v="11"/>
  </r>
  <r>
    <x v="13"/>
    <s v="Hibernia0010_dry_mixed_recycling"/>
    <s v="Waste"/>
    <x v="1"/>
    <m/>
    <m/>
    <n v="54"/>
    <n v="54"/>
    <s v="Non-hazardous waste"/>
    <m/>
    <x v="0"/>
  </r>
  <r>
    <x v="13"/>
    <s v="Hibernia0010_dry_mixed_recycling"/>
    <s v="Waste"/>
    <x v="1"/>
    <m/>
    <m/>
    <n v="29"/>
    <n v="29"/>
    <s v="Non-hazardous waste"/>
    <m/>
    <x v="1"/>
  </r>
  <r>
    <x v="13"/>
    <s v="Hibernia0010_dry_mixed_recycling"/>
    <s v="Waste"/>
    <x v="1"/>
    <m/>
    <m/>
    <n v="59"/>
    <n v="59"/>
    <s v="Non-hazardous waste"/>
    <m/>
    <x v="2"/>
  </r>
  <r>
    <x v="13"/>
    <s v="Hibernia0010_dry_mixed_recycling"/>
    <s v="Waste"/>
    <x v="1"/>
    <m/>
    <m/>
    <n v="68"/>
    <n v="68"/>
    <s v="Non-hazardous waste"/>
    <m/>
    <x v="3"/>
  </r>
  <r>
    <x v="13"/>
    <s v="Hibernia0010_dry_mixed_recycling"/>
    <s v="Waste"/>
    <x v="1"/>
    <m/>
    <m/>
    <n v="67"/>
    <n v="67"/>
    <s v="Non-hazardous waste"/>
    <m/>
    <x v="4"/>
  </r>
  <r>
    <x v="13"/>
    <s v="Hibernia0010_dry_mixed_recycling"/>
    <s v="Waste"/>
    <x v="1"/>
    <m/>
    <m/>
    <n v="87"/>
    <n v="87"/>
    <s v="Non-hazardous waste"/>
    <m/>
    <x v="5"/>
  </r>
  <r>
    <x v="13"/>
    <s v="Hibernia0010_dry_mixed_recycling"/>
    <s v="Waste"/>
    <x v="1"/>
    <m/>
    <m/>
    <n v="181"/>
    <n v="181"/>
    <s v="Non-hazardous waste"/>
    <m/>
    <x v="6"/>
  </r>
  <r>
    <x v="13"/>
    <s v="Hibernia0010_dry_mixed_recycling"/>
    <s v="Waste"/>
    <x v="1"/>
    <m/>
    <m/>
    <n v="75"/>
    <n v="75"/>
    <s v="Non-hazardous waste"/>
    <m/>
    <x v="7"/>
  </r>
  <r>
    <x v="13"/>
    <s v="Hibernia0010_dry_mixed_recycling"/>
    <s v="Waste"/>
    <x v="1"/>
    <m/>
    <m/>
    <n v="90"/>
    <n v="90"/>
    <s v="Non-hazardous waste"/>
    <m/>
    <x v="8"/>
  </r>
  <r>
    <x v="13"/>
    <s v="Hibernia0010_dry_mixed_recycling"/>
    <s v="Waste"/>
    <x v="1"/>
    <m/>
    <m/>
    <n v="101"/>
    <n v="101"/>
    <s v="Non-hazardous waste"/>
    <m/>
    <x v="9"/>
  </r>
  <r>
    <x v="13"/>
    <s v="Hibernia0010_dry_mixed_recycling"/>
    <s v="Waste"/>
    <x v="1"/>
    <m/>
    <m/>
    <n v="88"/>
    <n v="88"/>
    <s v="Non-hazardous waste"/>
    <m/>
    <x v="10"/>
  </r>
  <r>
    <x v="13"/>
    <s v="Hibernia0010_dry_mixed_recycling"/>
    <s v="Waste"/>
    <x v="1"/>
    <m/>
    <m/>
    <n v="103"/>
    <n v="103"/>
    <s v="Non-hazardous waste"/>
    <m/>
    <x v="11"/>
  </r>
  <r>
    <x v="13"/>
    <s v="Hibernia0010_commercial_and_industrial_waste"/>
    <s v="Waste"/>
    <x v="2"/>
    <n v="186"/>
    <m/>
    <m/>
    <n v="186"/>
    <s v="Non-hazardous waste"/>
    <m/>
    <x v="0"/>
  </r>
  <r>
    <x v="13"/>
    <s v="Hibernia0010_commercial_and_industrial_waste"/>
    <s v="Waste"/>
    <x v="2"/>
    <n v="189"/>
    <m/>
    <m/>
    <n v="189"/>
    <s v="Non-hazardous waste"/>
    <m/>
    <x v="1"/>
  </r>
  <r>
    <x v="13"/>
    <s v="Hibernia0010_commercial_and_industrial_waste"/>
    <s v="Waste"/>
    <x v="2"/>
    <n v="198"/>
    <m/>
    <m/>
    <n v="198"/>
    <s v="Non-hazardous waste"/>
    <m/>
    <x v="2"/>
  </r>
  <r>
    <x v="13"/>
    <s v="Hibernia0010_commercial_and_industrial_waste"/>
    <s v="Waste"/>
    <x v="2"/>
    <n v="192"/>
    <m/>
    <m/>
    <n v="192"/>
    <s v="Non-hazardous waste"/>
    <m/>
    <x v="3"/>
  </r>
  <r>
    <x v="13"/>
    <s v="Hibernia0010_commercial_and_industrial_waste"/>
    <s v="Waste"/>
    <x v="2"/>
    <n v="239"/>
    <m/>
    <m/>
    <n v="239"/>
    <s v="Non-hazardous waste"/>
    <m/>
    <x v="4"/>
  </r>
  <r>
    <x v="13"/>
    <s v="Hibernia0010_commercial_and_industrial_waste"/>
    <s v="Waste"/>
    <x v="2"/>
    <n v="171"/>
    <m/>
    <m/>
    <n v="171"/>
    <s v="Non-hazardous waste"/>
    <m/>
    <x v="5"/>
  </r>
  <r>
    <x v="13"/>
    <s v="Hibernia0010_commercial_and_industrial_waste"/>
    <s v="Waste"/>
    <x v="2"/>
    <n v="376"/>
    <m/>
    <m/>
    <n v="376"/>
    <s v="Non-hazardous waste"/>
    <m/>
    <x v="6"/>
  </r>
  <r>
    <x v="13"/>
    <s v="Hibernia0010_commercial_and_industrial_waste"/>
    <s v="Waste"/>
    <x v="2"/>
    <n v="218"/>
    <m/>
    <m/>
    <n v="218"/>
    <s v="Non-hazardous waste"/>
    <m/>
    <x v="7"/>
  </r>
  <r>
    <x v="13"/>
    <s v="Hibernia0010_commercial_and_industrial_waste"/>
    <s v="Waste"/>
    <x v="2"/>
    <n v="181"/>
    <m/>
    <m/>
    <n v="181"/>
    <s v="Non-hazardous waste"/>
    <m/>
    <x v="8"/>
  </r>
  <r>
    <x v="13"/>
    <s v="Hibernia0010_commercial_and_industrial_waste"/>
    <s v="Waste"/>
    <x v="2"/>
    <n v="161"/>
    <m/>
    <m/>
    <n v="161"/>
    <s v="Non-hazardous waste"/>
    <m/>
    <x v="9"/>
  </r>
  <r>
    <x v="13"/>
    <s v="Hibernia0010_commercial_and_industrial_waste"/>
    <s v="Waste"/>
    <x v="2"/>
    <n v="155"/>
    <m/>
    <m/>
    <n v="155"/>
    <s v="Non-hazardous waste"/>
    <m/>
    <x v="10"/>
  </r>
  <r>
    <x v="13"/>
    <s v="Hibernia0010_commercial_and_industrial_waste"/>
    <s v="Waste"/>
    <x v="2"/>
    <n v="175"/>
    <m/>
    <m/>
    <n v="175"/>
    <s v="Non-hazardous waste"/>
    <m/>
    <x v="11"/>
  </r>
  <r>
    <x v="14"/>
    <s v="Hibernia0018_organic_waste"/>
    <s v="Waste"/>
    <x v="0"/>
    <m/>
    <n v="1550"/>
    <m/>
    <n v="1550"/>
    <s v="Non-hazardous waste"/>
    <n v="1"/>
    <x v="0"/>
  </r>
  <r>
    <x v="14"/>
    <s v="Hibernia0018_organic_waste"/>
    <s v="Waste"/>
    <x v="0"/>
    <m/>
    <n v="1490"/>
    <m/>
    <n v="1490"/>
    <s v="Non-hazardous waste"/>
    <n v="2"/>
    <x v="1"/>
  </r>
  <r>
    <x v="14"/>
    <s v="Hibernia0018_organic_waste"/>
    <s v="Waste"/>
    <x v="0"/>
    <m/>
    <n v="1560"/>
    <m/>
    <n v="1560"/>
    <s v="Non-hazardous waste"/>
    <n v="3"/>
    <x v="2"/>
  </r>
  <r>
    <x v="14"/>
    <s v="Hibernia0018_organic_waste"/>
    <s v="Waste"/>
    <x v="0"/>
    <m/>
    <n v="1820"/>
    <m/>
    <n v="1820"/>
    <s v="Non-hazardous waste"/>
    <n v="4"/>
    <x v="3"/>
  </r>
  <r>
    <x v="14"/>
    <s v="Hibernia0018_organic_waste"/>
    <s v="Waste"/>
    <x v="0"/>
    <m/>
    <n v="1800"/>
    <m/>
    <n v="1800"/>
    <s v="Non-hazardous waste"/>
    <n v="5"/>
    <x v="4"/>
  </r>
  <r>
    <x v="14"/>
    <s v="Hibernia0018_organic_waste"/>
    <s v="Waste"/>
    <x v="0"/>
    <m/>
    <n v="1510"/>
    <m/>
    <n v="1510"/>
    <s v="Non-hazardous waste"/>
    <n v="6"/>
    <x v="5"/>
  </r>
  <r>
    <x v="14"/>
    <s v="Hibernia0018_organic_waste"/>
    <s v="Waste"/>
    <x v="0"/>
    <m/>
    <n v="1500"/>
    <m/>
    <n v="1500"/>
    <s v="Non-hazardous waste"/>
    <n v="7"/>
    <x v="6"/>
  </r>
  <r>
    <x v="14"/>
    <s v="Hibernia0018_organic_waste"/>
    <s v="Waste"/>
    <x v="0"/>
    <m/>
    <n v="1290"/>
    <m/>
    <n v="1290"/>
    <s v="Non-hazardous waste"/>
    <n v="8"/>
    <x v="7"/>
  </r>
  <r>
    <x v="14"/>
    <s v="Hibernia0018_organic_waste"/>
    <s v="Waste"/>
    <x v="0"/>
    <m/>
    <n v="1970"/>
    <m/>
    <n v="1970"/>
    <s v="Non-hazardous waste"/>
    <n v="9"/>
    <x v="8"/>
  </r>
  <r>
    <x v="14"/>
    <s v="Hibernia0018_organic_waste"/>
    <s v="Waste"/>
    <x v="0"/>
    <m/>
    <n v="1510"/>
    <m/>
    <n v="1510"/>
    <s v="Non-hazardous waste"/>
    <n v="10"/>
    <x v="9"/>
  </r>
  <r>
    <x v="14"/>
    <s v="Hibernia0018_organic_waste"/>
    <s v="Waste"/>
    <x v="0"/>
    <m/>
    <n v="1100"/>
    <m/>
    <n v="1100"/>
    <s v="Non-hazardous waste"/>
    <n v="11"/>
    <x v="10"/>
  </r>
  <r>
    <x v="14"/>
    <s v="Hibernia0018_organic_waste"/>
    <s v="Waste"/>
    <x v="0"/>
    <m/>
    <n v="1260"/>
    <m/>
    <n v="1260"/>
    <s v="Non-hazardous waste"/>
    <n v="12"/>
    <x v="11"/>
  </r>
  <r>
    <x v="14"/>
    <s v="Hibernia0018_dry_mixed_recycling"/>
    <s v="Waste"/>
    <x v="1"/>
    <m/>
    <m/>
    <n v="1070"/>
    <n v="1070"/>
    <s v="Non-hazardous waste"/>
    <n v="1"/>
    <x v="0"/>
  </r>
  <r>
    <x v="14"/>
    <s v="Hibernia0018_dry_mixed_recycling"/>
    <s v="Waste"/>
    <x v="1"/>
    <m/>
    <m/>
    <n v="1190"/>
    <n v="1190"/>
    <s v="Non-hazardous waste"/>
    <n v="2"/>
    <x v="1"/>
  </r>
  <r>
    <x v="14"/>
    <s v="Hibernia0018_dry_mixed_recycling"/>
    <s v="Waste"/>
    <x v="1"/>
    <m/>
    <m/>
    <n v="1620"/>
    <n v="1620"/>
    <s v="Non-hazardous waste"/>
    <n v="3"/>
    <x v="2"/>
  </r>
  <r>
    <x v="14"/>
    <s v="Hibernia0018_dry_mixed_recycling"/>
    <s v="Waste"/>
    <x v="1"/>
    <m/>
    <m/>
    <n v="810"/>
    <n v="810"/>
    <s v="Non-hazardous waste"/>
    <n v="4"/>
    <x v="3"/>
  </r>
  <r>
    <x v="14"/>
    <s v="Hibernia0018_dry_mixed_recycling"/>
    <s v="Waste"/>
    <x v="1"/>
    <m/>
    <m/>
    <n v="890"/>
    <n v="890"/>
    <s v="Non-hazardous waste"/>
    <n v="5"/>
    <x v="4"/>
  </r>
  <r>
    <x v="14"/>
    <s v="Hibernia0018_dry_mixed_recycling"/>
    <s v="Waste"/>
    <x v="1"/>
    <m/>
    <m/>
    <n v="1120"/>
    <n v="1120"/>
    <s v="Non-hazardous waste"/>
    <n v="6"/>
    <x v="5"/>
  </r>
  <r>
    <x v="14"/>
    <s v="Hibernia0018_dry_mixed_recycling"/>
    <s v="Waste"/>
    <x v="1"/>
    <m/>
    <m/>
    <n v="1970"/>
    <n v="1970"/>
    <s v="Non-hazardous waste"/>
    <n v="7"/>
    <x v="6"/>
  </r>
  <r>
    <x v="14"/>
    <s v="Hibernia0018_dry_mixed_recycling"/>
    <s v="Waste"/>
    <x v="1"/>
    <m/>
    <m/>
    <n v="1860"/>
    <n v="1860"/>
    <s v="Non-hazardous waste"/>
    <n v="8"/>
    <x v="7"/>
  </r>
  <r>
    <x v="14"/>
    <s v="Hibernia0018_dry_mixed_recycling"/>
    <s v="Waste"/>
    <x v="1"/>
    <m/>
    <m/>
    <n v="2090"/>
    <n v="2090"/>
    <s v="Non-hazardous waste"/>
    <n v="9"/>
    <x v="8"/>
  </r>
  <r>
    <x v="14"/>
    <s v="Hibernia0018_dry_mixed_recycling"/>
    <s v="Waste"/>
    <x v="1"/>
    <m/>
    <m/>
    <n v="1090"/>
    <n v="1090"/>
    <s v="Non-hazardous waste"/>
    <n v="10"/>
    <x v="9"/>
  </r>
  <r>
    <x v="14"/>
    <s v="Hibernia0018_dry_mixed_recycling"/>
    <s v="Waste"/>
    <x v="1"/>
    <m/>
    <m/>
    <n v="1060"/>
    <n v="1060"/>
    <s v="Non-hazardous waste"/>
    <n v="11"/>
    <x v="10"/>
  </r>
  <r>
    <x v="14"/>
    <s v="Hibernia0018_dry_mixed_recycling"/>
    <s v="Waste"/>
    <x v="1"/>
    <m/>
    <m/>
    <n v="830"/>
    <n v="830"/>
    <s v="Non-hazardous waste"/>
    <n v="12"/>
    <x v="11"/>
  </r>
  <r>
    <x v="14"/>
    <s v="Hibernia0018_commercial_and_industrial_waste"/>
    <s v="Waste"/>
    <x v="2"/>
    <n v="2620"/>
    <m/>
    <m/>
    <n v="2620"/>
    <s v="Non-hazardous waste"/>
    <n v="1"/>
    <x v="0"/>
  </r>
  <r>
    <x v="14"/>
    <s v="Hibernia0018_commercial_and_industrial_waste"/>
    <s v="Waste"/>
    <x v="2"/>
    <n v="2670"/>
    <m/>
    <m/>
    <n v="2670"/>
    <s v="Non-hazardous waste"/>
    <n v="2"/>
    <x v="1"/>
  </r>
  <r>
    <x v="14"/>
    <s v="Hibernia0018_commercial_and_industrial_waste"/>
    <s v="Waste"/>
    <x v="2"/>
    <n v="3200"/>
    <m/>
    <m/>
    <n v="3200"/>
    <s v="Non-hazardous waste"/>
    <n v="3"/>
    <x v="2"/>
  </r>
  <r>
    <x v="14"/>
    <s v="Hibernia0018_commercial_and_industrial_waste"/>
    <s v="Waste"/>
    <x v="2"/>
    <n v="2630"/>
    <m/>
    <m/>
    <n v="2630"/>
    <s v="Non-hazardous waste"/>
    <n v="4"/>
    <x v="3"/>
  </r>
  <r>
    <x v="14"/>
    <s v="Hibernia0018_commercial_and_industrial_waste"/>
    <s v="Waste"/>
    <x v="2"/>
    <n v="2690"/>
    <m/>
    <m/>
    <n v="2690"/>
    <s v="Non-hazardous waste"/>
    <n v="5"/>
    <x v="4"/>
  </r>
  <r>
    <x v="14"/>
    <s v="Hibernia0018_commercial_and_industrial_waste"/>
    <s v="Waste"/>
    <x v="2"/>
    <n v="2630"/>
    <m/>
    <m/>
    <n v="2630"/>
    <s v="Non-hazardous waste"/>
    <n v="6"/>
    <x v="5"/>
  </r>
  <r>
    <x v="14"/>
    <s v="Hibernia0018_commercial_and_industrial_waste"/>
    <s v="Waste"/>
    <x v="2"/>
    <n v="3950"/>
    <m/>
    <m/>
    <n v="3950"/>
    <s v="Non-hazardous waste"/>
    <n v="7"/>
    <x v="6"/>
  </r>
  <r>
    <x v="14"/>
    <s v="Hibernia0018_commercial_and_industrial_waste"/>
    <s v="Waste"/>
    <x v="2"/>
    <n v="3500"/>
    <m/>
    <m/>
    <n v="3500"/>
    <s v="Non-hazardous waste"/>
    <n v="8"/>
    <x v="7"/>
  </r>
  <r>
    <x v="14"/>
    <s v="Hibernia0018_commercial_and_industrial_waste"/>
    <s v="Waste"/>
    <x v="2"/>
    <n v="4310"/>
    <m/>
    <m/>
    <n v="4310"/>
    <s v="Non-hazardous waste"/>
    <n v="9"/>
    <x v="8"/>
  </r>
  <r>
    <x v="14"/>
    <s v="Hibernia0018_commercial_and_industrial_waste"/>
    <s v="Waste"/>
    <x v="2"/>
    <n v="2900"/>
    <m/>
    <m/>
    <n v="2900"/>
    <s v="Non-hazardous waste"/>
    <n v="10"/>
    <x v="9"/>
  </r>
  <r>
    <x v="14"/>
    <s v="Hibernia0018_commercial_and_industrial_waste"/>
    <s v="Waste"/>
    <x v="2"/>
    <n v="2360"/>
    <m/>
    <m/>
    <n v="2360"/>
    <s v="Non-hazardous waste"/>
    <n v="11"/>
    <x v="10"/>
  </r>
  <r>
    <x v="14"/>
    <s v="Hibernia0018_commercial_and_industrial_waste"/>
    <s v="Waste"/>
    <x v="2"/>
    <n v="2260"/>
    <m/>
    <m/>
    <n v="2260"/>
    <s v="Non-hazardous waste"/>
    <n v="12"/>
    <x v="1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51">
  <r>
    <x v="0"/>
    <s v="[Historical data]_Landlord_Electricity_HiberniaE0001"/>
    <s v="Electricity"/>
    <x v="0"/>
    <m/>
  </r>
  <r>
    <x v="0"/>
    <s v="[Historical data]_Landlord_Electricity_HiberniaE0001"/>
    <s v="Electricity"/>
    <x v="1"/>
    <m/>
  </r>
  <r>
    <x v="0"/>
    <s v="[Historical data]_Landlord_Electricity_HiberniaE0001"/>
    <s v="Electricity"/>
    <x v="2"/>
    <m/>
  </r>
  <r>
    <x v="0"/>
    <s v="[Historical data]_Landlord_Electricity_HiberniaE0001"/>
    <s v="Electricity"/>
    <x v="3"/>
    <m/>
  </r>
  <r>
    <x v="0"/>
    <s v="[Historical data]_Landlord_Electricity_HiberniaE0001"/>
    <s v="Electricity"/>
    <x v="4"/>
    <m/>
  </r>
  <r>
    <x v="0"/>
    <s v="[Historical data]_Landlord_Electricity_HiberniaE0001"/>
    <s v="Electricity"/>
    <x v="5"/>
    <m/>
  </r>
  <r>
    <x v="0"/>
    <s v="[Historical data]_Landlord_Electricity_HiberniaE0001"/>
    <s v="Electricity"/>
    <x v="6"/>
    <m/>
  </r>
  <r>
    <x v="0"/>
    <s v="[Historical data]_Landlord_Electricity_HiberniaE0001"/>
    <s v="Electricity"/>
    <x v="7"/>
    <m/>
  </r>
  <r>
    <x v="0"/>
    <s v="[Historical data]_Landlord_Electricity_HiberniaE0001"/>
    <s v="Electricity"/>
    <x v="8"/>
    <m/>
  </r>
  <r>
    <x v="0"/>
    <s v="[Historical data]_Landlord_Electricity_HiberniaE0001"/>
    <s v="Electricity"/>
    <x v="9"/>
    <m/>
  </r>
  <r>
    <x v="0"/>
    <s v="[Historical data]_Landlord_Electricity_HiberniaE0001"/>
    <s v="Electricity"/>
    <x v="10"/>
    <m/>
  </r>
  <r>
    <x v="0"/>
    <s v="[Historical data]_Landlord_Electricity_HiberniaE0001"/>
    <s v="Electricity"/>
    <x v="11"/>
    <m/>
  </r>
  <r>
    <x v="0"/>
    <s v="[Historical data]_Landlord_Gas_HiberniaG0001"/>
    <s v="Gas"/>
    <x v="0"/>
    <m/>
  </r>
  <r>
    <x v="0"/>
    <s v="[Historical data]_Landlord_Gas_HiberniaG0001"/>
    <s v="Gas"/>
    <x v="1"/>
    <m/>
  </r>
  <r>
    <x v="0"/>
    <s v="[Historical data]_Landlord_Gas_HiberniaG0001"/>
    <s v="Gas"/>
    <x v="2"/>
    <m/>
  </r>
  <r>
    <x v="0"/>
    <s v="[Historical data]_Landlord_Gas_HiberniaG0001"/>
    <s v="Gas"/>
    <x v="3"/>
    <m/>
  </r>
  <r>
    <x v="0"/>
    <s v="[Historical data]_Landlord_Gas_HiberniaG0001"/>
    <s v="Gas"/>
    <x v="4"/>
    <m/>
  </r>
  <r>
    <x v="0"/>
    <s v="[Historical data]_Landlord_Gas_HiberniaG0001"/>
    <s v="Gas"/>
    <x v="5"/>
    <m/>
  </r>
  <r>
    <x v="0"/>
    <s v="[Historical data]_Landlord_Gas_HiberniaG0001"/>
    <s v="Gas"/>
    <x v="6"/>
    <m/>
  </r>
  <r>
    <x v="0"/>
    <s v="[Historical data]_Landlord_Gas_HiberniaG0001"/>
    <s v="Gas"/>
    <x v="7"/>
    <m/>
  </r>
  <r>
    <x v="0"/>
    <s v="[Historical data]_Landlord_Gas_HiberniaG0001"/>
    <s v="Gas"/>
    <x v="8"/>
    <m/>
  </r>
  <r>
    <x v="0"/>
    <s v="[Historical data]_Landlord_Gas_HiberniaG0001"/>
    <s v="Gas"/>
    <x v="9"/>
    <m/>
  </r>
  <r>
    <x v="0"/>
    <s v="[Historical data]_Landlord_Gas_HiberniaG0001"/>
    <s v="Gas"/>
    <x v="10"/>
    <m/>
  </r>
  <r>
    <x v="0"/>
    <s v="[Historical data]_Landlord_Gas_HiberniaG0001"/>
    <s v="Gas"/>
    <x v="11"/>
    <m/>
  </r>
  <r>
    <x v="0"/>
    <s v="Landlord_Water_HiberniaW0001"/>
    <s v="Water"/>
    <x v="0"/>
    <n v="204.5"/>
  </r>
  <r>
    <x v="0"/>
    <s v="Landlord_Water_HiberniaW0001"/>
    <s v="Water"/>
    <x v="1"/>
    <n v="205.2"/>
  </r>
  <r>
    <x v="0"/>
    <s v="Landlord_Water_HiberniaW0001"/>
    <s v="Water"/>
    <x v="2"/>
    <n v="519.29999999999995"/>
  </r>
  <r>
    <x v="0"/>
    <s v="Landlord_Water_HiberniaW0001"/>
    <s v="Water"/>
    <x v="3"/>
    <n v="216.9"/>
  </r>
  <r>
    <x v="0"/>
    <s v="Landlord_Water_HiberniaW0001"/>
    <s v="Water"/>
    <x v="4"/>
    <n v="234.9"/>
  </r>
  <r>
    <x v="0"/>
    <s v="Landlord_Water_HiberniaW0001"/>
    <s v="Water"/>
    <x v="5"/>
    <n v="229.3"/>
  </r>
  <r>
    <x v="0"/>
    <s v="Landlord_Water_HiberniaW0001"/>
    <s v="Water"/>
    <x v="6"/>
    <n v="195.19900000000001"/>
  </r>
  <r>
    <x v="0"/>
    <s v="Landlord_Water_HiberniaW0001"/>
    <s v="Water"/>
    <x v="7"/>
    <n v="252.601"/>
  </r>
  <r>
    <x v="0"/>
    <s v="Landlord_Water_HiberniaW0001"/>
    <s v="Water"/>
    <x v="8"/>
    <n v="270.3"/>
  </r>
  <r>
    <x v="0"/>
    <s v="Landlord_Water_HiberniaW0001"/>
    <s v="Water"/>
    <x v="9"/>
    <n v="248.4"/>
  </r>
  <r>
    <x v="0"/>
    <s v="Landlord_Water_HiberniaW0001"/>
    <s v="Water"/>
    <x v="10"/>
    <n v="206.2"/>
  </r>
  <r>
    <x v="0"/>
    <s v="Landlord_Water_HiberniaW0001"/>
    <s v="Water"/>
    <x v="11"/>
    <n v="164"/>
  </r>
  <r>
    <x v="0"/>
    <s v="1WML ground north occupier electricity"/>
    <s v="Electricity"/>
    <x v="0"/>
    <m/>
  </r>
  <r>
    <x v="0"/>
    <s v="1WML ground north occupier electricity"/>
    <s v="Electricity"/>
    <x v="1"/>
    <m/>
  </r>
  <r>
    <x v="0"/>
    <s v="1WML ground north occupier electricity"/>
    <s v="Electricity"/>
    <x v="2"/>
    <m/>
  </r>
  <r>
    <x v="0"/>
    <s v="1WML ground north occupier electricity"/>
    <s v="Electricity"/>
    <x v="3"/>
    <m/>
  </r>
  <r>
    <x v="0"/>
    <s v="1WML ground north occupier electricity"/>
    <s v="Electricity"/>
    <x v="4"/>
    <m/>
  </r>
  <r>
    <x v="0"/>
    <s v="1WML ground north occupier electricity"/>
    <s v="Electricity"/>
    <x v="5"/>
    <m/>
  </r>
  <r>
    <x v="0"/>
    <s v="1WML ground north occupier electricity"/>
    <s v="Electricity"/>
    <x v="6"/>
    <m/>
  </r>
  <r>
    <x v="0"/>
    <s v="1WML ground north occupier electricity"/>
    <s v="Electricity"/>
    <x v="7"/>
    <m/>
  </r>
  <r>
    <x v="0"/>
    <s v="1WML ground north occupier electricity"/>
    <s v="Electricity"/>
    <x v="8"/>
    <m/>
  </r>
  <r>
    <x v="0"/>
    <s v="1WML ground north occupier electricity"/>
    <s v="Electricity"/>
    <x v="9"/>
    <m/>
  </r>
  <r>
    <x v="0"/>
    <s v="1WML ground north occupier electricity"/>
    <s v="Electricity"/>
    <x v="10"/>
    <m/>
  </r>
  <r>
    <x v="0"/>
    <s v="1WML ground north occupier electricity"/>
    <s v="Electricity"/>
    <x v="11"/>
    <m/>
  </r>
  <r>
    <x v="0"/>
    <s v="1WML Ground South occupier electricity"/>
    <s v="Electricity"/>
    <x v="0"/>
    <m/>
  </r>
  <r>
    <x v="0"/>
    <s v="1WML Ground South occupier electricity"/>
    <s v="Electricity"/>
    <x v="1"/>
    <m/>
  </r>
  <r>
    <x v="0"/>
    <s v="1WML Ground South occupier electricity"/>
    <s v="Electricity"/>
    <x v="2"/>
    <m/>
  </r>
  <r>
    <x v="0"/>
    <s v="1WML Ground South occupier electricity"/>
    <s v="Electricity"/>
    <x v="3"/>
    <m/>
  </r>
  <r>
    <x v="0"/>
    <s v="1WML Ground South occupier electricity"/>
    <s v="Electricity"/>
    <x v="4"/>
    <m/>
  </r>
  <r>
    <x v="0"/>
    <s v="1WML Ground South occupier electricity"/>
    <s v="Electricity"/>
    <x v="5"/>
    <m/>
  </r>
  <r>
    <x v="0"/>
    <s v="1WML Ground South occupier electricity"/>
    <s v="Electricity"/>
    <x v="6"/>
    <m/>
  </r>
  <r>
    <x v="0"/>
    <s v="1WML Ground South occupier electricity"/>
    <s v="Electricity"/>
    <x v="7"/>
    <m/>
  </r>
  <r>
    <x v="0"/>
    <s v="1WML Ground South occupier electricity"/>
    <s v="Electricity"/>
    <x v="8"/>
    <m/>
  </r>
  <r>
    <x v="0"/>
    <s v="1WML Ground South occupier electricity"/>
    <s v="Electricity"/>
    <x v="9"/>
    <m/>
  </r>
  <r>
    <x v="0"/>
    <s v="1WML Ground South occupier electricity"/>
    <s v="Electricity"/>
    <x v="10"/>
    <m/>
  </r>
  <r>
    <x v="0"/>
    <s v="1WML Ground South occupier electricity"/>
    <s v="Electricity"/>
    <x v="11"/>
    <m/>
  </r>
  <r>
    <x v="0"/>
    <s v="1WML 1st &amp; 2nd occupier Electricity"/>
    <s v="Electricity"/>
    <x v="0"/>
    <m/>
  </r>
  <r>
    <x v="0"/>
    <s v="1WML 1st &amp; 2nd occupier Electricity"/>
    <s v="Electricity"/>
    <x v="1"/>
    <m/>
  </r>
  <r>
    <x v="0"/>
    <s v="1WML 1st &amp; 2nd occupier Electricity"/>
    <s v="Electricity"/>
    <x v="2"/>
    <m/>
  </r>
  <r>
    <x v="0"/>
    <s v="1WML 1st &amp; 2nd occupier Electricity"/>
    <s v="Electricity"/>
    <x v="3"/>
    <m/>
  </r>
  <r>
    <x v="0"/>
    <s v="1WML 1st &amp; 2nd occupier Electricity"/>
    <s v="Electricity"/>
    <x v="4"/>
    <m/>
  </r>
  <r>
    <x v="0"/>
    <s v="1WML 1st &amp; 2nd occupier Electricity"/>
    <s v="Electricity"/>
    <x v="5"/>
    <m/>
  </r>
  <r>
    <x v="0"/>
    <s v="1WML 1st &amp; 2nd occupier Electricity"/>
    <s v="Electricity"/>
    <x v="6"/>
    <m/>
  </r>
  <r>
    <x v="0"/>
    <s v="1WML 1st &amp; 2nd occupier Electricity"/>
    <s v="Electricity"/>
    <x v="7"/>
    <m/>
  </r>
  <r>
    <x v="0"/>
    <s v="1WML 1st &amp; 2nd occupier Electricity"/>
    <s v="Electricity"/>
    <x v="8"/>
    <m/>
  </r>
  <r>
    <x v="0"/>
    <s v="1WML 1st &amp; 2nd occupier Electricity"/>
    <s v="Electricity"/>
    <x v="9"/>
    <m/>
  </r>
  <r>
    <x v="0"/>
    <s v="1WML 1st &amp; 2nd occupier Electricity"/>
    <s v="Electricity"/>
    <x v="10"/>
    <m/>
  </r>
  <r>
    <x v="0"/>
    <s v="1WML 1st &amp; 2nd occupier Electricity"/>
    <s v="Electricity"/>
    <x v="11"/>
    <m/>
  </r>
  <r>
    <x v="0"/>
    <s v="1WML 3rd occupier electricity"/>
    <s v="Electricity"/>
    <x v="0"/>
    <m/>
  </r>
  <r>
    <x v="0"/>
    <s v="1WML 3rd occupier electricity"/>
    <s v="Electricity"/>
    <x v="1"/>
    <m/>
  </r>
  <r>
    <x v="0"/>
    <s v="1WML 3rd occupier electricity"/>
    <s v="Electricity"/>
    <x v="2"/>
    <m/>
  </r>
  <r>
    <x v="0"/>
    <s v="1WML 3rd occupier electricity"/>
    <s v="Electricity"/>
    <x v="3"/>
    <m/>
  </r>
  <r>
    <x v="0"/>
    <s v="1WML 3rd occupier electricity"/>
    <s v="Electricity"/>
    <x v="4"/>
    <m/>
  </r>
  <r>
    <x v="0"/>
    <s v="1WML 3rd occupier electricity"/>
    <s v="Electricity"/>
    <x v="5"/>
    <m/>
  </r>
  <r>
    <x v="0"/>
    <s v="1WML 3rd occupier electricity"/>
    <s v="Electricity"/>
    <x v="6"/>
    <m/>
  </r>
  <r>
    <x v="0"/>
    <s v="1WML 3rd occupier electricity"/>
    <s v="Electricity"/>
    <x v="7"/>
    <m/>
  </r>
  <r>
    <x v="0"/>
    <s v="1WML 3rd occupier electricity"/>
    <s v="Electricity"/>
    <x v="8"/>
    <m/>
  </r>
  <r>
    <x v="0"/>
    <s v="1WML 3rd occupier electricity"/>
    <s v="Electricity"/>
    <x v="9"/>
    <m/>
  </r>
  <r>
    <x v="0"/>
    <s v="1WML 3rd occupier electricity"/>
    <s v="Electricity"/>
    <x v="10"/>
    <m/>
  </r>
  <r>
    <x v="0"/>
    <s v="1WML 3rd occupier electricity"/>
    <s v="Electricity"/>
    <x v="11"/>
    <m/>
  </r>
  <r>
    <x v="0"/>
    <s v="1WML 4th occupier electricity"/>
    <s v="Electricity"/>
    <x v="0"/>
    <m/>
  </r>
  <r>
    <x v="0"/>
    <s v="1WML 4th occupier electricity"/>
    <s v="Electricity"/>
    <x v="1"/>
    <m/>
  </r>
  <r>
    <x v="0"/>
    <s v="1WML 4th occupier electricity"/>
    <s v="Electricity"/>
    <x v="2"/>
    <m/>
  </r>
  <r>
    <x v="0"/>
    <s v="1WML 4th occupier electricity"/>
    <s v="Electricity"/>
    <x v="3"/>
    <m/>
  </r>
  <r>
    <x v="0"/>
    <s v="1WML 4th occupier electricity"/>
    <s v="Electricity"/>
    <x v="4"/>
    <m/>
  </r>
  <r>
    <x v="0"/>
    <s v="1WML 4th occupier electricity"/>
    <s v="Electricity"/>
    <x v="5"/>
    <m/>
  </r>
  <r>
    <x v="0"/>
    <s v="1WML 4th occupier electricity"/>
    <s v="Electricity"/>
    <x v="6"/>
    <m/>
  </r>
  <r>
    <x v="0"/>
    <s v="1WML 4th occupier electricity"/>
    <s v="Electricity"/>
    <x v="7"/>
    <m/>
  </r>
  <r>
    <x v="0"/>
    <s v="1WML 4th occupier electricity"/>
    <s v="Electricity"/>
    <x v="8"/>
    <m/>
  </r>
  <r>
    <x v="0"/>
    <s v="1WML 4th occupier electricity"/>
    <s v="Electricity"/>
    <x v="9"/>
    <m/>
  </r>
  <r>
    <x v="0"/>
    <s v="1WML 4th occupier electricity"/>
    <s v="Electricity"/>
    <x v="10"/>
    <m/>
  </r>
  <r>
    <x v="0"/>
    <s v="1WML 4th occupier electricity"/>
    <s v="Electricity"/>
    <x v="11"/>
    <m/>
  </r>
  <r>
    <x v="0"/>
    <s v="1WML 5th occupier electricity"/>
    <s v="Electricity"/>
    <x v="0"/>
    <m/>
  </r>
  <r>
    <x v="0"/>
    <s v="1WML 5th occupier electricity"/>
    <s v="Electricity"/>
    <x v="1"/>
    <m/>
  </r>
  <r>
    <x v="0"/>
    <s v="1WML 5th occupier electricity"/>
    <s v="Electricity"/>
    <x v="2"/>
    <m/>
  </r>
  <r>
    <x v="0"/>
    <s v="1WML 5th occupier electricity"/>
    <s v="Electricity"/>
    <x v="3"/>
    <m/>
  </r>
  <r>
    <x v="0"/>
    <s v="1WML 5th occupier electricity"/>
    <s v="Electricity"/>
    <x v="4"/>
    <m/>
  </r>
  <r>
    <x v="0"/>
    <s v="1WML 5th occupier electricity"/>
    <s v="Electricity"/>
    <x v="5"/>
    <m/>
  </r>
  <r>
    <x v="0"/>
    <s v="1WML 5th occupier electricity"/>
    <s v="Electricity"/>
    <x v="6"/>
    <m/>
  </r>
  <r>
    <x v="0"/>
    <s v="1WML 5th occupier electricity"/>
    <s v="Electricity"/>
    <x v="7"/>
    <m/>
  </r>
  <r>
    <x v="0"/>
    <s v="1WML 5th occupier electricity"/>
    <s v="Electricity"/>
    <x v="8"/>
    <m/>
  </r>
  <r>
    <x v="0"/>
    <s v="1WML 5th occupier electricity"/>
    <s v="Electricity"/>
    <x v="9"/>
    <m/>
  </r>
  <r>
    <x v="0"/>
    <s v="1WML 5th occupier electricity"/>
    <s v="Electricity"/>
    <x v="10"/>
    <m/>
  </r>
  <r>
    <x v="0"/>
    <s v="1WML 5th occupier electricity"/>
    <s v="Electricity"/>
    <x v="11"/>
    <m/>
  </r>
  <r>
    <x v="0"/>
    <s v="1WML Retail unit electricity"/>
    <s v="Electricity"/>
    <x v="0"/>
    <m/>
  </r>
  <r>
    <x v="0"/>
    <s v="1WML Retail unit electricity"/>
    <s v="Electricity"/>
    <x v="1"/>
    <m/>
  </r>
  <r>
    <x v="0"/>
    <s v="1WML Retail unit electricity"/>
    <s v="Electricity"/>
    <x v="2"/>
    <m/>
  </r>
  <r>
    <x v="0"/>
    <s v="1WML Retail unit electricity"/>
    <s v="Electricity"/>
    <x v="3"/>
    <m/>
  </r>
  <r>
    <x v="0"/>
    <s v="1WML Retail unit electricity"/>
    <s v="Electricity"/>
    <x v="4"/>
    <m/>
  </r>
  <r>
    <x v="0"/>
    <s v="1WML Retail unit electricity"/>
    <s v="Electricity"/>
    <x v="5"/>
    <m/>
  </r>
  <r>
    <x v="0"/>
    <s v="1WML Retail unit electricity"/>
    <s v="Electricity"/>
    <x v="6"/>
    <m/>
  </r>
  <r>
    <x v="0"/>
    <s v="1WML Retail unit electricity"/>
    <s v="Electricity"/>
    <x v="7"/>
    <m/>
  </r>
  <r>
    <x v="0"/>
    <s v="1WML Retail unit electricity"/>
    <s v="Electricity"/>
    <x v="8"/>
    <m/>
  </r>
  <r>
    <x v="0"/>
    <s v="1WML Retail unit electricity"/>
    <s v="Electricity"/>
    <x v="9"/>
    <m/>
  </r>
  <r>
    <x v="0"/>
    <s v="1WML Retail unit electricity"/>
    <s v="Electricity"/>
    <x v="10"/>
    <m/>
  </r>
  <r>
    <x v="0"/>
    <s v="1WML Retail unit electricity"/>
    <s v="Electricity"/>
    <x v="11"/>
    <m/>
  </r>
  <r>
    <x v="0"/>
    <s v="Hibernia0001_organic_waste"/>
    <s v="Waste"/>
    <x v="0"/>
    <m/>
  </r>
  <r>
    <x v="0"/>
    <s v="Hibernia0001_organic_waste"/>
    <s v="Waste"/>
    <x v="1"/>
    <m/>
  </r>
  <r>
    <x v="0"/>
    <s v="Hibernia0001_organic_waste"/>
    <s v="Waste"/>
    <x v="2"/>
    <m/>
  </r>
  <r>
    <x v="0"/>
    <s v="Hibernia0001_organic_waste"/>
    <s v="Waste"/>
    <x v="3"/>
    <m/>
  </r>
  <r>
    <x v="0"/>
    <s v="Hibernia0001_organic_waste"/>
    <s v="Waste"/>
    <x v="4"/>
    <m/>
  </r>
  <r>
    <x v="0"/>
    <s v="Hibernia0001_organic_waste"/>
    <s v="Waste"/>
    <x v="5"/>
    <m/>
  </r>
  <r>
    <x v="0"/>
    <s v="Hibernia0001_organic_waste"/>
    <s v="Waste"/>
    <x v="6"/>
    <m/>
  </r>
  <r>
    <x v="0"/>
    <s v="Hibernia0001_organic_waste"/>
    <s v="Waste"/>
    <x v="7"/>
    <m/>
  </r>
  <r>
    <x v="0"/>
    <s v="Hibernia0001_organic_waste"/>
    <s v="Waste"/>
    <x v="8"/>
    <m/>
  </r>
  <r>
    <x v="0"/>
    <s v="Hibernia0001_organic_waste"/>
    <s v="Waste"/>
    <x v="9"/>
    <m/>
  </r>
  <r>
    <x v="0"/>
    <s v="Hibernia0001_organic_waste"/>
    <s v="Waste"/>
    <x v="10"/>
    <m/>
  </r>
  <r>
    <x v="0"/>
    <s v="Hibernia0001_organic_waste"/>
    <s v="Waste"/>
    <x v="11"/>
    <m/>
  </r>
  <r>
    <x v="0"/>
    <s v="Hibernia0001_dry_mixed_recycling"/>
    <s v="Waste"/>
    <x v="0"/>
    <m/>
  </r>
  <r>
    <x v="0"/>
    <s v="Hibernia0001_dry_mixed_recycling"/>
    <s v="Waste"/>
    <x v="1"/>
    <m/>
  </r>
  <r>
    <x v="0"/>
    <s v="Hibernia0001_dry_mixed_recycling"/>
    <s v="Waste"/>
    <x v="2"/>
    <m/>
  </r>
  <r>
    <x v="0"/>
    <s v="Hibernia0001_dry_mixed_recycling"/>
    <s v="Waste"/>
    <x v="3"/>
    <m/>
  </r>
  <r>
    <x v="0"/>
    <s v="Hibernia0001_dry_mixed_recycling"/>
    <s v="Waste"/>
    <x v="4"/>
    <m/>
  </r>
  <r>
    <x v="0"/>
    <s v="Hibernia0001_dry_mixed_recycling"/>
    <s v="Waste"/>
    <x v="5"/>
    <m/>
  </r>
  <r>
    <x v="0"/>
    <s v="Hibernia0001_dry_mixed_recycling"/>
    <s v="Waste"/>
    <x v="6"/>
    <m/>
  </r>
  <r>
    <x v="0"/>
    <s v="Hibernia0001_dry_mixed_recycling"/>
    <s v="Waste"/>
    <x v="7"/>
    <m/>
  </r>
  <r>
    <x v="0"/>
    <s v="Hibernia0001_dry_mixed_recycling"/>
    <s v="Waste"/>
    <x v="8"/>
    <m/>
  </r>
  <r>
    <x v="0"/>
    <s v="Hibernia0001_dry_mixed_recycling"/>
    <s v="Waste"/>
    <x v="9"/>
    <m/>
  </r>
  <r>
    <x v="0"/>
    <s v="Hibernia0001_dry_mixed_recycling"/>
    <s v="Waste"/>
    <x v="10"/>
    <m/>
  </r>
  <r>
    <x v="0"/>
    <s v="Hibernia0001_dry_mixed_recycling"/>
    <s v="Waste"/>
    <x v="11"/>
    <m/>
  </r>
  <r>
    <x v="0"/>
    <s v="Hibernia0001_commercial_and_industrial_waste"/>
    <s v="Waste"/>
    <x v="0"/>
    <m/>
  </r>
  <r>
    <x v="0"/>
    <s v="Hibernia0001_commercial_and_industrial_waste"/>
    <s v="Waste"/>
    <x v="1"/>
    <m/>
  </r>
  <r>
    <x v="0"/>
    <s v="Hibernia0001_commercial_and_industrial_waste"/>
    <s v="Waste"/>
    <x v="2"/>
    <m/>
  </r>
  <r>
    <x v="0"/>
    <s v="Hibernia0001_commercial_and_industrial_waste"/>
    <s v="Waste"/>
    <x v="3"/>
    <m/>
  </r>
  <r>
    <x v="0"/>
    <s v="Hibernia0001_commercial_and_industrial_waste"/>
    <s v="Waste"/>
    <x v="4"/>
    <m/>
  </r>
  <r>
    <x v="0"/>
    <s v="Hibernia0001_commercial_and_industrial_waste"/>
    <s v="Waste"/>
    <x v="5"/>
    <m/>
  </r>
  <r>
    <x v="0"/>
    <s v="Hibernia0001_commercial_and_industrial_waste"/>
    <s v="Waste"/>
    <x v="6"/>
    <m/>
  </r>
  <r>
    <x v="0"/>
    <s v="Hibernia0001_commercial_and_industrial_waste"/>
    <s v="Waste"/>
    <x v="7"/>
    <m/>
  </r>
  <r>
    <x v="0"/>
    <s v="Hibernia0001_commercial_and_industrial_waste"/>
    <s v="Waste"/>
    <x v="8"/>
    <m/>
  </r>
  <r>
    <x v="0"/>
    <s v="Hibernia0001_commercial_and_industrial_waste"/>
    <s v="Waste"/>
    <x v="9"/>
    <m/>
  </r>
  <r>
    <x v="0"/>
    <s v="Hibernia0001_commercial_and_industrial_waste"/>
    <s v="Waste"/>
    <x v="10"/>
    <m/>
  </r>
  <r>
    <x v="0"/>
    <s v="Hibernia0001_commercial_and_industrial_waste"/>
    <s v="Waste"/>
    <x v="11"/>
    <m/>
  </r>
  <r>
    <x v="1"/>
    <s v="[Historical data]_Landlord_Electricity_HiberniaE0004"/>
    <s v="Electricity"/>
    <x v="0"/>
    <m/>
  </r>
  <r>
    <x v="1"/>
    <s v="[Historical data]_Landlord_Electricity_HiberniaE0004"/>
    <s v="Electricity"/>
    <x v="1"/>
    <m/>
  </r>
  <r>
    <x v="1"/>
    <s v="[Historical data]_Landlord_Electricity_HiberniaE0004"/>
    <s v="Electricity"/>
    <x v="2"/>
    <m/>
  </r>
  <r>
    <x v="1"/>
    <s v="[Historical data]_Landlord_Electricity_HiberniaE0004"/>
    <s v="Electricity"/>
    <x v="3"/>
    <m/>
  </r>
  <r>
    <x v="1"/>
    <s v="[Historical data]_Landlord_Electricity_HiberniaE0004"/>
    <s v="Electricity"/>
    <x v="4"/>
    <m/>
  </r>
  <r>
    <x v="1"/>
    <s v="[Historical data]_Landlord_Electricity_HiberniaE0004"/>
    <s v="Electricity"/>
    <x v="5"/>
    <m/>
  </r>
  <r>
    <x v="1"/>
    <s v="[Historical data]_Landlord_Electricity_HiberniaE0004"/>
    <s v="Electricity"/>
    <x v="6"/>
    <m/>
  </r>
  <r>
    <x v="1"/>
    <s v="[Historical data]_Landlord_Electricity_HiberniaE0004"/>
    <s v="Electricity"/>
    <x v="7"/>
    <m/>
  </r>
  <r>
    <x v="1"/>
    <s v="[Historical data]_Landlord_Electricity_HiberniaE0004"/>
    <s v="Electricity"/>
    <x v="8"/>
    <m/>
  </r>
  <r>
    <x v="1"/>
    <s v="[Historical data]_Landlord_Electricity_HiberniaE0004"/>
    <s v="Electricity"/>
    <x v="9"/>
    <m/>
  </r>
  <r>
    <x v="1"/>
    <s v="[Historical data]_Landlord_Electricity_HiberniaE0004"/>
    <s v="Electricity"/>
    <x v="10"/>
    <m/>
  </r>
  <r>
    <x v="1"/>
    <s v="[Historical data]_Landlord_Electricity_HiberniaE0004"/>
    <s v="Electricity"/>
    <x v="11"/>
    <m/>
  </r>
  <r>
    <x v="1"/>
    <s v="[Historical data]_Landlord_Gas_HiberniaG0002"/>
    <s v="Gas"/>
    <x v="0"/>
    <m/>
  </r>
  <r>
    <x v="1"/>
    <s v="[Historical data]_Landlord_Gas_HiberniaG0002"/>
    <s v="Gas"/>
    <x v="1"/>
    <m/>
  </r>
  <r>
    <x v="1"/>
    <s v="[Historical data]_Landlord_Gas_HiberniaG0002"/>
    <s v="Gas"/>
    <x v="2"/>
    <m/>
  </r>
  <r>
    <x v="1"/>
    <s v="[Historical data]_Landlord_Gas_HiberniaG0002"/>
    <s v="Gas"/>
    <x v="3"/>
    <m/>
  </r>
  <r>
    <x v="1"/>
    <s v="[Historical data]_Landlord_Gas_HiberniaG0002"/>
    <s v="Gas"/>
    <x v="4"/>
    <m/>
  </r>
  <r>
    <x v="1"/>
    <s v="[Historical data]_Landlord_Gas_HiberniaG0002"/>
    <s v="Gas"/>
    <x v="5"/>
    <m/>
  </r>
  <r>
    <x v="1"/>
    <s v="[Historical data]_Landlord_Gas_HiberniaG0002"/>
    <s v="Gas"/>
    <x v="6"/>
    <m/>
  </r>
  <r>
    <x v="1"/>
    <s v="[Historical data]_Landlord_Gas_HiberniaG0002"/>
    <s v="Gas"/>
    <x v="7"/>
    <m/>
  </r>
  <r>
    <x v="1"/>
    <s v="[Historical data]_Landlord_Gas_HiberniaG0002"/>
    <s v="Gas"/>
    <x v="8"/>
    <m/>
  </r>
  <r>
    <x v="1"/>
    <s v="[Historical data]_Landlord_Gas_HiberniaG0002"/>
    <s v="Gas"/>
    <x v="9"/>
    <m/>
  </r>
  <r>
    <x v="1"/>
    <s v="[Historical data]_Landlord_Gas_HiberniaG0002"/>
    <s v="Gas"/>
    <x v="10"/>
    <m/>
  </r>
  <r>
    <x v="1"/>
    <s v="[Historical data]_Landlord_Gas_HiberniaG0002"/>
    <s v="Gas"/>
    <x v="11"/>
    <m/>
  </r>
  <r>
    <x v="1"/>
    <s v="[Historical data]_Landlord_Water_HiberniaW0002"/>
    <s v="Water"/>
    <x v="4"/>
    <n v="276.10000000000008"/>
  </r>
  <r>
    <x v="1"/>
    <s v="[Historical data]_Landlord_Water_HiberniaW0002"/>
    <s v="Water"/>
    <x v="5"/>
    <n v="295.49999999999949"/>
  </r>
  <r>
    <x v="1"/>
    <s v="[Historical data]_Landlord_Water_HiberniaW0002"/>
    <s v="Water"/>
    <x v="6"/>
    <n v="264.80000000000018"/>
  </r>
  <r>
    <x v="1"/>
    <s v="[Historical data]_Landlord_Water_HiberniaW0002"/>
    <s v="Water"/>
    <x v="7"/>
    <n v="194.90000000000111"/>
  </r>
  <r>
    <x v="1"/>
    <s v="[Historical data]_Landlord_Water_HiberniaW0002"/>
    <s v="Water"/>
    <x v="8"/>
    <n v="250.2"/>
  </r>
  <r>
    <x v="1"/>
    <s v="[Historical data]_Landlord_Water_HiberniaW0002"/>
    <s v="Water"/>
    <x v="9"/>
    <n v="253.2"/>
  </r>
  <r>
    <x v="1"/>
    <s v="[Historical data]_Landlord_Water_HiberniaW0002"/>
    <s v="Water"/>
    <x v="10"/>
    <n v="253.2"/>
  </r>
  <r>
    <x v="1"/>
    <s v="[Historical data]_Landlord_Water_HiberniaW0002"/>
    <s v="Water"/>
    <x v="11"/>
    <n v="207.7"/>
  </r>
  <r>
    <x v="1"/>
    <s v="2WML Gym occupier electricity"/>
    <s v="Electricity"/>
    <x v="0"/>
    <m/>
  </r>
  <r>
    <x v="1"/>
    <s v="2WML Gym occupier electricity"/>
    <s v="Electricity"/>
    <x v="1"/>
    <m/>
  </r>
  <r>
    <x v="1"/>
    <s v="2WML Gym occupier electricity"/>
    <s v="Electricity"/>
    <x v="2"/>
    <m/>
  </r>
  <r>
    <x v="1"/>
    <s v="2WML Gym occupier electricity"/>
    <s v="Electricity"/>
    <x v="3"/>
    <m/>
  </r>
  <r>
    <x v="1"/>
    <s v="2WML Gym occupier electricity"/>
    <s v="Electricity"/>
    <x v="4"/>
    <m/>
  </r>
  <r>
    <x v="1"/>
    <s v="2WML Gym occupier electricity"/>
    <s v="Electricity"/>
    <x v="5"/>
    <m/>
  </r>
  <r>
    <x v="1"/>
    <s v="2WML Gym occupier electricity"/>
    <s v="Electricity"/>
    <x v="6"/>
    <m/>
  </r>
  <r>
    <x v="1"/>
    <s v="2WML Gym occupier electricity"/>
    <s v="Electricity"/>
    <x v="7"/>
    <m/>
  </r>
  <r>
    <x v="1"/>
    <s v="2WML Gym occupier electricity"/>
    <s v="Electricity"/>
    <x v="8"/>
    <m/>
  </r>
  <r>
    <x v="1"/>
    <s v="2WML Gym occupier electricity"/>
    <s v="Electricity"/>
    <x v="9"/>
    <m/>
  </r>
  <r>
    <x v="1"/>
    <s v="2WML 1st occupier electricity"/>
    <s v="Electricity"/>
    <x v="0"/>
    <m/>
  </r>
  <r>
    <x v="1"/>
    <s v="2WML 1st occupier electricity"/>
    <s v="Electricity"/>
    <x v="1"/>
    <m/>
  </r>
  <r>
    <x v="1"/>
    <s v="2WML 1st occupier electricity"/>
    <s v="Electricity"/>
    <x v="2"/>
    <m/>
  </r>
  <r>
    <x v="1"/>
    <s v="2WML 1st occupier electricity"/>
    <s v="Electricity"/>
    <x v="3"/>
    <m/>
  </r>
  <r>
    <x v="1"/>
    <s v="2WML 1st occupier electricity"/>
    <s v="Electricity"/>
    <x v="4"/>
    <m/>
  </r>
  <r>
    <x v="1"/>
    <s v="2WML 1st occupier electricity"/>
    <s v="Electricity"/>
    <x v="5"/>
    <m/>
  </r>
  <r>
    <x v="1"/>
    <s v="2WML 1st occupier electricity"/>
    <s v="Electricity"/>
    <x v="6"/>
    <m/>
  </r>
  <r>
    <x v="1"/>
    <s v="2WML 1st occupier electricity"/>
    <s v="Electricity"/>
    <x v="7"/>
    <m/>
  </r>
  <r>
    <x v="1"/>
    <s v="2WML 1st occupier electricity"/>
    <s v="Electricity"/>
    <x v="8"/>
    <m/>
  </r>
  <r>
    <x v="1"/>
    <s v="2WML 1st occupier electricity"/>
    <s v="Electricity"/>
    <x v="9"/>
    <m/>
  </r>
  <r>
    <x v="1"/>
    <s v="2WML 1st occupier electricity"/>
    <s v="Electricity"/>
    <x v="10"/>
    <m/>
  </r>
  <r>
    <x v="1"/>
    <s v="2WML 1st occupier electricity"/>
    <s v="Electricity"/>
    <x v="11"/>
    <m/>
  </r>
  <r>
    <x v="1"/>
    <s v="2WML 2nd occupier electricity"/>
    <s v="Electricity"/>
    <x v="0"/>
    <m/>
  </r>
  <r>
    <x v="1"/>
    <s v="2WML 2nd occupier electricity"/>
    <s v="Electricity"/>
    <x v="1"/>
    <m/>
  </r>
  <r>
    <x v="1"/>
    <s v="2WML 2nd occupier electricity"/>
    <s v="Electricity"/>
    <x v="2"/>
    <m/>
  </r>
  <r>
    <x v="1"/>
    <s v="2WML 2nd occupier electricity"/>
    <s v="Electricity"/>
    <x v="3"/>
    <m/>
  </r>
  <r>
    <x v="1"/>
    <s v="2WML 2nd occupier electricity"/>
    <s v="Electricity"/>
    <x v="4"/>
    <m/>
  </r>
  <r>
    <x v="1"/>
    <s v="2WML 2nd occupier electricity"/>
    <s v="Electricity"/>
    <x v="5"/>
    <m/>
  </r>
  <r>
    <x v="1"/>
    <s v="2WML 2nd occupier electricity"/>
    <s v="Electricity"/>
    <x v="6"/>
    <m/>
  </r>
  <r>
    <x v="1"/>
    <s v="2WML 2nd occupier electricity"/>
    <s v="Electricity"/>
    <x v="7"/>
    <m/>
  </r>
  <r>
    <x v="1"/>
    <s v="2WML 2nd occupier electricity"/>
    <s v="Electricity"/>
    <x v="8"/>
    <m/>
  </r>
  <r>
    <x v="1"/>
    <s v="2WML 2nd occupier electricity"/>
    <s v="Electricity"/>
    <x v="9"/>
    <m/>
  </r>
  <r>
    <x v="1"/>
    <s v="2WML 2nd occupier electricity"/>
    <s v="Electricity"/>
    <x v="10"/>
    <m/>
  </r>
  <r>
    <x v="1"/>
    <s v="2WML 2nd occupier electricity"/>
    <s v="Electricity"/>
    <x v="11"/>
    <m/>
  </r>
  <r>
    <x v="1"/>
    <s v="2WML 3rd occupier electricity"/>
    <s v="Electricity"/>
    <x v="0"/>
    <m/>
  </r>
  <r>
    <x v="1"/>
    <s v="2WML 3rd occupier electricity"/>
    <s v="Electricity"/>
    <x v="1"/>
    <m/>
  </r>
  <r>
    <x v="1"/>
    <s v="2WML 3rd occupier electricity"/>
    <s v="Electricity"/>
    <x v="2"/>
    <m/>
  </r>
  <r>
    <x v="1"/>
    <s v="2WML 3rd occupier electricity"/>
    <s v="Electricity"/>
    <x v="3"/>
    <m/>
  </r>
  <r>
    <x v="1"/>
    <s v="2WML 3rd occupier electricity"/>
    <s v="Electricity"/>
    <x v="4"/>
    <m/>
  </r>
  <r>
    <x v="1"/>
    <s v="2WML 3rd occupier electricity"/>
    <s v="Electricity"/>
    <x v="5"/>
    <m/>
  </r>
  <r>
    <x v="1"/>
    <s v="2WML 3rd occupier electricity"/>
    <s v="Electricity"/>
    <x v="6"/>
    <m/>
  </r>
  <r>
    <x v="1"/>
    <s v="2WML 3rd occupier electricity"/>
    <s v="Electricity"/>
    <x v="7"/>
    <m/>
  </r>
  <r>
    <x v="1"/>
    <s v="2WML 3rd occupier electricity"/>
    <s v="Electricity"/>
    <x v="8"/>
    <m/>
  </r>
  <r>
    <x v="1"/>
    <s v="2WML 3rd occupier electricity"/>
    <s v="Electricity"/>
    <x v="9"/>
    <m/>
  </r>
  <r>
    <x v="1"/>
    <s v="2WML 3rd occupier electricity"/>
    <s v="Electricity"/>
    <x v="10"/>
    <m/>
  </r>
  <r>
    <x v="1"/>
    <s v="2WML 4th occupier electricity"/>
    <s v="Electricity"/>
    <x v="0"/>
    <m/>
  </r>
  <r>
    <x v="1"/>
    <s v="2WML 4th occupier electricity"/>
    <s v="Electricity"/>
    <x v="1"/>
    <m/>
  </r>
  <r>
    <x v="1"/>
    <s v="2WML 4th occupier electricity"/>
    <s v="Electricity"/>
    <x v="2"/>
    <m/>
  </r>
  <r>
    <x v="1"/>
    <s v="2WML 4th occupier electricity"/>
    <s v="Electricity"/>
    <x v="3"/>
    <m/>
  </r>
  <r>
    <x v="1"/>
    <s v="2WML 4th occupier electricity"/>
    <s v="Electricity"/>
    <x v="4"/>
    <m/>
  </r>
  <r>
    <x v="1"/>
    <s v="2WML 4th occupier electricity"/>
    <s v="Electricity"/>
    <x v="5"/>
    <m/>
  </r>
  <r>
    <x v="1"/>
    <s v="2WML 4th occupier electricity"/>
    <s v="Electricity"/>
    <x v="6"/>
    <m/>
  </r>
  <r>
    <x v="1"/>
    <s v="2WML 4th occupier electricity"/>
    <s v="Electricity"/>
    <x v="7"/>
    <m/>
  </r>
  <r>
    <x v="1"/>
    <s v="2WML 4th occupier electricity"/>
    <s v="Electricity"/>
    <x v="8"/>
    <m/>
  </r>
  <r>
    <x v="1"/>
    <s v="2WML 4th occupier electricity"/>
    <s v="Electricity"/>
    <x v="9"/>
    <m/>
  </r>
  <r>
    <x v="1"/>
    <s v="2WML 5th occupier electricity"/>
    <s v="Electricity"/>
    <x v="0"/>
    <m/>
  </r>
  <r>
    <x v="1"/>
    <s v="2WML 5th occupier electricity"/>
    <s v="Electricity"/>
    <x v="1"/>
    <m/>
  </r>
  <r>
    <x v="1"/>
    <s v="2WML 5th occupier electricity"/>
    <s v="Electricity"/>
    <x v="2"/>
    <m/>
  </r>
  <r>
    <x v="1"/>
    <s v="2WML 5th occupier electricity"/>
    <s v="Electricity"/>
    <x v="3"/>
    <m/>
  </r>
  <r>
    <x v="1"/>
    <s v="2WML 5th occupier electricity"/>
    <s v="Electricity"/>
    <x v="4"/>
    <m/>
  </r>
  <r>
    <x v="1"/>
    <s v="2WML 5th occupier electricity"/>
    <s v="Electricity"/>
    <x v="5"/>
    <m/>
  </r>
  <r>
    <x v="1"/>
    <s v="2WML 5th occupier electricity"/>
    <s v="Electricity"/>
    <x v="6"/>
    <m/>
  </r>
  <r>
    <x v="1"/>
    <s v="2WML 5th occupier electricity"/>
    <s v="Electricity"/>
    <x v="7"/>
    <m/>
  </r>
  <r>
    <x v="1"/>
    <s v="2WML 5th occupier electricity"/>
    <s v="Electricity"/>
    <x v="8"/>
    <m/>
  </r>
  <r>
    <x v="1"/>
    <s v="2WML 5th occupier electricity"/>
    <s v="Electricity"/>
    <x v="9"/>
    <m/>
  </r>
  <r>
    <x v="1"/>
    <s v="Hibernia0002_organic_waste"/>
    <s v="Waste"/>
    <x v="0"/>
    <m/>
  </r>
  <r>
    <x v="1"/>
    <s v="Hibernia0002_organic_waste"/>
    <s v="Waste"/>
    <x v="1"/>
    <m/>
  </r>
  <r>
    <x v="1"/>
    <s v="Hibernia0002_organic_waste"/>
    <s v="Waste"/>
    <x v="2"/>
    <m/>
  </r>
  <r>
    <x v="1"/>
    <s v="Hibernia0002_organic_waste"/>
    <s v="Waste"/>
    <x v="3"/>
    <m/>
  </r>
  <r>
    <x v="1"/>
    <s v="Hibernia0002_organic_waste"/>
    <s v="Waste"/>
    <x v="4"/>
    <m/>
  </r>
  <r>
    <x v="1"/>
    <s v="Hibernia0002_organic_waste"/>
    <s v="Waste"/>
    <x v="5"/>
    <m/>
  </r>
  <r>
    <x v="1"/>
    <s v="Hibernia0002_organic_waste"/>
    <s v="Waste"/>
    <x v="6"/>
    <m/>
  </r>
  <r>
    <x v="1"/>
    <s v="Hibernia0002_organic_waste"/>
    <s v="Waste"/>
    <x v="7"/>
    <m/>
  </r>
  <r>
    <x v="1"/>
    <s v="Hibernia0002_organic_waste"/>
    <s v="Waste"/>
    <x v="8"/>
    <m/>
  </r>
  <r>
    <x v="1"/>
    <s v="Hibernia0002_organic_waste"/>
    <s v="Waste"/>
    <x v="9"/>
    <m/>
  </r>
  <r>
    <x v="1"/>
    <s v="Hibernia0002_organic_waste"/>
    <s v="Waste"/>
    <x v="10"/>
    <m/>
  </r>
  <r>
    <x v="1"/>
    <s v="Hibernia0002_organic_waste"/>
    <s v="Waste"/>
    <x v="11"/>
    <m/>
  </r>
  <r>
    <x v="1"/>
    <s v="Hibernia0002_dry_mixed_recycling"/>
    <s v="Waste"/>
    <x v="0"/>
    <m/>
  </r>
  <r>
    <x v="1"/>
    <s v="Hibernia0002_dry_mixed_recycling"/>
    <s v="Waste"/>
    <x v="1"/>
    <m/>
  </r>
  <r>
    <x v="1"/>
    <s v="Hibernia0002_dry_mixed_recycling"/>
    <s v="Waste"/>
    <x v="2"/>
    <m/>
  </r>
  <r>
    <x v="1"/>
    <s v="Hibernia0002_dry_mixed_recycling"/>
    <s v="Waste"/>
    <x v="3"/>
    <m/>
  </r>
  <r>
    <x v="1"/>
    <s v="Hibernia0002_dry_mixed_recycling"/>
    <s v="Waste"/>
    <x v="4"/>
    <m/>
  </r>
  <r>
    <x v="1"/>
    <s v="Hibernia0002_dry_mixed_recycling"/>
    <s v="Waste"/>
    <x v="5"/>
    <m/>
  </r>
  <r>
    <x v="1"/>
    <s v="Hibernia0002_dry_mixed_recycling"/>
    <s v="Waste"/>
    <x v="6"/>
    <m/>
  </r>
  <r>
    <x v="1"/>
    <s v="Hibernia0002_dry_mixed_recycling"/>
    <s v="Waste"/>
    <x v="7"/>
    <m/>
  </r>
  <r>
    <x v="1"/>
    <s v="Hibernia0002_dry_mixed_recycling"/>
    <s v="Waste"/>
    <x v="8"/>
    <m/>
  </r>
  <r>
    <x v="1"/>
    <s v="Hibernia0002_dry_mixed_recycling"/>
    <s v="Waste"/>
    <x v="9"/>
    <m/>
  </r>
  <r>
    <x v="1"/>
    <s v="Hibernia0002_dry_mixed_recycling"/>
    <s v="Waste"/>
    <x v="10"/>
    <m/>
  </r>
  <r>
    <x v="1"/>
    <s v="Hibernia0002_dry_mixed_recycling"/>
    <s v="Waste"/>
    <x v="11"/>
    <m/>
  </r>
  <r>
    <x v="1"/>
    <s v="Hibernia0002_commercial_and_industrial_waste"/>
    <s v="Waste"/>
    <x v="0"/>
    <m/>
  </r>
  <r>
    <x v="1"/>
    <s v="Hibernia0002_commercial_and_industrial_waste"/>
    <s v="Waste"/>
    <x v="1"/>
    <m/>
  </r>
  <r>
    <x v="1"/>
    <s v="Hibernia0002_commercial_and_industrial_waste"/>
    <s v="Waste"/>
    <x v="2"/>
    <m/>
  </r>
  <r>
    <x v="1"/>
    <s v="Hibernia0002_commercial_and_industrial_waste"/>
    <s v="Waste"/>
    <x v="3"/>
    <m/>
  </r>
  <r>
    <x v="1"/>
    <s v="Hibernia0002_commercial_and_industrial_waste"/>
    <s v="Waste"/>
    <x v="4"/>
    <m/>
  </r>
  <r>
    <x v="1"/>
    <s v="Hibernia0002_commercial_and_industrial_waste"/>
    <s v="Waste"/>
    <x v="5"/>
    <m/>
  </r>
  <r>
    <x v="1"/>
    <s v="Hibernia0002_commercial_and_industrial_waste"/>
    <s v="Waste"/>
    <x v="6"/>
    <m/>
  </r>
  <r>
    <x v="1"/>
    <s v="Hibernia0002_commercial_and_industrial_waste"/>
    <s v="Waste"/>
    <x v="7"/>
    <m/>
  </r>
  <r>
    <x v="1"/>
    <s v="Hibernia0002_commercial_and_industrial_waste"/>
    <s v="Waste"/>
    <x v="8"/>
    <m/>
  </r>
  <r>
    <x v="1"/>
    <s v="Hibernia0002_commercial_and_industrial_waste"/>
    <s v="Waste"/>
    <x v="9"/>
    <m/>
  </r>
  <r>
    <x v="1"/>
    <s v="Hibernia0002_commercial_and_industrial_waste"/>
    <s v="Waste"/>
    <x v="10"/>
    <m/>
  </r>
  <r>
    <x v="1"/>
    <s v="Hibernia0002_commercial_and_industrial_waste"/>
    <s v="Waste"/>
    <x v="11"/>
    <m/>
  </r>
  <r>
    <x v="2"/>
    <s v="[Historical data]_Landlord_Electricity_HiberniaE0030"/>
    <s v="Electricity"/>
    <x v="0"/>
    <m/>
  </r>
  <r>
    <x v="2"/>
    <s v="[Historical data]_Landlord_Electricity_HiberniaE0030"/>
    <s v="Electricity"/>
    <x v="1"/>
    <m/>
  </r>
  <r>
    <x v="2"/>
    <s v="[Historical data]_Landlord_Electricity_HiberniaE0030"/>
    <s v="Electricity"/>
    <x v="2"/>
    <m/>
  </r>
  <r>
    <x v="2"/>
    <s v="[Historical data]_Landlord_Electricity_HiberniaE0030"/>
    <s v="Electricity"/>
    <x v="3"/>
    <m/>
  </r>
  <r>
    <x v="2"/>
    <s v="[Historical data]_Landlord_Electricity_HiberniaE0030"/>
    <s v="Electricity"/>
    <x v="4"/>
    <m/>
  </r>
  <r>
    <x v="2"/>
    <s v="[Historical data]_Landlord_Electricity_HiberniaE0030"/>
    <s v="Electricity"/>
    <x v="5"/>
    <m/>
  </r>
  <r>
    <x v="2"/>
    <s v="[Historical data]_Landlord_Electricity_HiberniaE0030"/>
    <s v="Electricity"/>
    <x v="6"/>
    <m/>
  </r>
  <r>
    <x v="2"/>
    <s v="[Historical data]_Landlord_Electricity_HiberniaE0030"/>
    <s v="Electricity"/>
    <x v="7"/>
    <m/>
  </r>
  <r>
    <x v="2"/>
    <s v="[Historical data]_Landlord_Electricity_HiberniaE0030"/>
    <s v="Electricity"/>
    <x v="8"/>
    <m/>
  </r>
  <r>
    <x v="2"/>
    <s v="[Historical data]_Landlord_Electricity_HiberniaE0030"/>
    <s v="Electricity"/>
    <x v="9"/>
    <m/>
  </r>
  <r>
    <x v="2"/>
    <s v="[Historical data]_Landlord_Electricity_HiberniaE0030"/>
    <s v="Electricity"/>
    <x v="10"/>
    <m/>
  </r>
  <r>
    <x v="2"/>
    <s v="[Historical data]_Landlord_Electricity_HiberniaE0030"/>
    <s v="Electricity"/>
    <x v="11"/>
    <m/>
  </r>
  <r>
    <x v="2"/>
    <s v="[Historical data]_Landlord_Gas_HiberniaG0019"/>
    <s v="Gas"/>
    <x v="0"/>
    <m/>
  </r>
  <r>
    <x v="2"/>
    <s v="[Historical data]_Landlord_Gas_HiberniaG0019"/>
    <s v="Gas"/>
    <x v="1"/>
    <m/>
  </r>
  <r>
    <x v="2"/>
    <s v="[Historical data]_Landlord_Gas_HiberniaG0019"/>
    <s v="Gas"/>
    <x v="2"/>
    <m/>
  </r>
  <r>
    <x v="2"/>
    <s v="[Historical data]_Landlord_Gas_HiberniaG0019"/>
    <s v="Gas"/>
    <x v="3"/>
    <m/>
  </r>
  <r>
    <x v="2"/>
    <s v="[Historical data]_Landlord_Gas_HiberniaG0019"/>
    <s v="Gas"/>
    <x v="4"/>
    <m/>
  </r>
  <r>
    <x v="2"/>
    <s v="[Historical data]_Landlord_Gas_HiberniaG0019"/>
    <s v="Gas"/>
    <x v="5"/>
    <m/>
  </r>
  <r>
    <x v="2"/>
    <s v="[Historical data]_Landlord_Gas_HiberniaG0019"/>
    <s v="Gas"/>
    <x v="6"/>
    <m/>
  </r>
  <r>
    <x v="2"/>
    <s v="[Historical data]_Landlord_Gas_HiberniaG0019"/>
    <s v="Gas"/>
    <x v="7"/>
    <m/>
  </r>
  <r>
    <x v="2"/>
    <s v="[Historical data]_Landlord_Gas_HiberniaG0019"/>
    <s v="Gas"/>
    <x v="8"/>
    <m/>
  </r>
  <r>
    <x v="2"/>
    <s v="[Historical data]_Landlord_Gas_HiberniaG0019"/>
    <s v="Gas"/>
    <x v="9"/>
    <m/>
  </r>
  <r>
    <x v="2"/>
    <s v="[Historical data]_Landlord_Gas_HiberniaG0019"/>
    <s v="Gas"/>
    <x v="10"/>
    <m/>
  </r>
  <r>
    <x v="2"/>
    <s v="[Historical data]_Landlord_Gas_HiberniaG0019"/>
    <s v="Gas"/>
    <x v="11"/>
    <m/>
  </r>
  <r>
    <x v="2"/>
    <s v="[Historical data]_Landlord_Water_HiberniaW0019"/>
    <s v="Water"/>
    <x v="0"/>
    <n v="65.99867368421053"/>
  </r>
  <r>
    <x v="2"/>
    <s v="[Historical data]_Landlord_Water_HiberniaW0019"/>
    <s v="Water"/>
    <x v="1"/>
    <n v="59.611705263157887"/>
  </r>
  <r>
    <x v="2"/>
    <s v="[Historical data]_Landlord_Water_HiberniaW0019"/>
    <s v="Water"/>
    <x v="2"/>
    <n v="56.779482168106831"/>
  </r>
  <r>
    <x v="2"/>
    <s v="[Historical data]_Landlord_Water_HiberniaW0019"/>
    <s v="Water"/>
    <x v="3"/>
    <n v="42.594626865671643"/>
  </r>
  <r>
    <x v="2"/>
    <s v="[Historical data]_Landlord_Water_HiberniaW0019"/>
    <s v="Water"/>
    <x v="4"/>
    <n v="42.257258193568241"/>
  </r>
  <r>
    <x v="2"/>
    <s v="[Historical data]_Landlord_Water_HiberniaW0019"/>
    <s v="Water"/>
    <x v="5"/>
    <n v="35.063814432989687"/>
  </r>
  <r>
    <x v="2"/>
    <s v="[Historical data]_Landlord_Water_HiberniaW0019"/>
    <s v="Water"/>
    <x v="6"/>
    <n v="36.232608247422682"/>
  </r>
  <r>
    <x v="2"/>
    <s v="[Historical data]_Landlord_Water_HiberniaW0019"/>
    <s v="Water"/>
    <x v="7"/>
    <n v="36.232608247422682"/>
  </r>
  <r>
    <x v="2"/>
    <s v="[Historical data]_Landlord_Water_HiberniaW0019"/>
    <s v="Water"/>
    <x v="8"/>
    <n v="9.6475961538461537"/>
  </r>
  <r>
    <x v="2"/>
    <s v="[Historical data]_Landlord_Water_HiberniaW0019"/>
    <s v="Water"/>
    <x v="9"/>
    <n v="9.9691826923076938"/>
  </r>
  <r>
    <x v="2"/>
    <s v="[Historical data]_Landlord_Water_HiberniaW0019"/>
    <s v="Water"/>
    <x v="10"/>
    <n v="9.6475961538461537"/>
  </r>
  <r>
    <x v="2"/>
    <s v="[Historical data]_Landlord_Water_HiberniaW0019"/>
    <s v="Water"/>
    <x v="11"/>
    <n v="42.502435526315793"/>
  </r>
  <r>
    <x v="2"/>
    <s v="50 City Quay ground south Occupier electricity"/>
    <s v="Electricity"/>
    <x v="0"/>
    <m/>
  </r>
  <r>
    <x v="2"/>
    <s v="50 City Quay ground south Occupier electricity"/>
    <s v="Electricity"/>
    <x v="1"/>
    <m/>
  </r>
  <r>
    <x v="2"/>
    <s v="50 City Quay ground south Occupier electricity"/>
    <s v="Electricity"/>
    <x v="2"/>
    <m/>
  </r>
  <r>
    <x v="2"/>
    <s v="50 City Quay ground south Occupier electricity"/>
    <s v="Electricity"/>
    <x v="3"/>
    <m/>
  </r>
  <r>
    <x v="2"/>
    <s v="50 City Quay ground south Occupier electricity"/>
    <s v="Electricity"/>
    <x v="4"/>
    <m/>
  </r>
  <r>
    <x v="2"/>
    <s v="50 City Quay ground south Occupier electricity"/>
    <s v="Electricity"/>
    <x v="5"/>
    <m/>
  </r>
  <r>
    <x v="2"/>
    <s v="50 City Quay ground south Occupier electricity"/>
    <s v="Electricity"/>
    <x v="6"/>
    <m/>
  </r>
  <r>
    <x v="2"/>
    <s v="50 City Quay ground south Occupier electricity"/>
    <s v="Electricity"/>
    <x v="7"/>
    <m/>
  </r>
  <r>
    <x v="2"/>
    <s v="50 City Quay ground south Occupier electricity"/>
    <s v="Electricity"/>
    <x v="8"/>
    <m/>
  </r>
  <r>
    <x v="2"/>
    <s v="50 City Quay ground south Occupier electricity"/>
    <s v="Electricity"/>
    <x v="9"/>
    <m/>
  </r>
  <r>
    <x v="2"/>
    <s v="50 City Quay ground south Occupier electricity"/>
    <s v="Electricity"/>
    <x v="10"/>
    <m/>
  </r>
  <r>
    <x v="2"/>
    <s v="50 City Quay ground south Occupier electricity"/>
    <s v="Electricity"/>
    <x v="11"/>
    <m/>
  </r>
  <r>
    <x v="2"/>
    <s v="50 City Quay ground north Occupier electricity"/>
    <s v="Electricity"/>
    <x v="0"/>
    <m/>
  </r>
  <r>
    <x v="2"/>
    <s v="50 City Quay ground north Occupier electricity"/>
    <s v="Electricity"/>
    <x v="1"/>
    <m/>
  </r>
  <r>
    <x v="2"/>
    <s v="50 City Quay ground north Occupier electricity"/>
    <s v="Electricity"/>
    <x v="2"/>
    <m/>
  </r>
  <r>
    <x v="2"/>
    <s v="50 City Quay ground north Occupier electricity"/>
    <s v="Electricity"/>
    <x v="3"/>
    <m/>
  </r>
  <r>
    <x v="2"/>
    <s v="50 City Quay ground north Occupier electricity"/>
    <s v="Electricity"/>
    <x v="4"/>
    <m/>
  </r>
  <r>
    <x v="2"/>
    <s v="50 City Quay ground north Occupier electricity"/>
    <s v="Electricity"/>
    <x v="5"/>
    <m/>
  </r>
  <r>
    <x v="2"/>
    <s v="50 City Quay ground north Occupier electricity"/>
    <s v="Electricity"/>
    <x v="6"/>
    <m/>
  </r>
  <r>
    <x v="2"/>
    <s v="50 City Quay ground north Occupier electricity"/>
    <s v="Electricity"/>
    <x v="7"/>
    <m/>
  </r>
  <r>
    <x v="2"/>
    <s v="50 City Quay ground north Occupier electricity"/>
    <s v="Electricity"/>
    <x v="8"/>
    <m/>
  </r>
  <r>
    <x v="2"/>
    <s v="50 City Quay ground north Occupier electricity"/>
    <s v="Electricity"/>
    <x v="9"/>
    <m/>
  </r>
  <r>
    <x v="2"/>
    <s v="50 City Quay ground north Occupier electricity"/>
    <s v="Electricity"/>
    <x v="10"/>
    <m/>
  </r>
  <r>
    <x v="2"/>
    <s v="50 City Quay ground north Occupier electricity"/>
    <s v="Electricity"/>
    <x v="11"/>
    <m/>
  </r>
  <r>
    <x v="2"/>
    <s v="50 City Quay 1st Occupier electricity"/>
    <s v="Electricity"/>
    <x v="0"/>
    <m/>
  </r>
  <r>
    <x v="2"/>
    <s v="50 City Quay 1st Occupier electricity"/>
    <s v="Electricity"/>
    <x v="1"/>
    <m/>
  </r>
  <r>
    <x v="2"/>
    <s v="50 City Quay 1st Occupier electricity"/>
    <s v="Electricity"/>
    <x v="2"/>
    <m/>
  </r>
  <r>
    <x v="2"/>
    <s v="50 City Quay 1st Occupier electricity"/>
    <s v="Electricity"/>
    <x v="3"/>
    <m/>
  </r>
  <r>
    <x v="2"/>
    <s v="50 City Quay 1st Occupier electricity"/>
    <s v="Electricity"/>
    <x v="4"/>
    <m/>
  </r>
  <r>
    <x v="2"/>
    <s v="50 City Quay 1st Occupier electricity"/>
    <s v="Electricity"/>
    <x v="5"/>
    <m/>
  </r>
  <r>
    <x v="2"/>
    <s v="50 City Quay 1st Occupier electricity"/>
    <s v="Electricity"/>
    <x v="6"/>
    <m/>
  </r>
  <r>
    <x v="2"/>
    <s v="50 City Quay 1st Occupier electricity"/>
    <s v="Electricity"/>
    <x v="7"/>
    <m/>
  </r>
  <r>
    <x v="2"/>
    <s v="50 City Quay 1st Occupier electricity"/>
    <s v="Electricity"/>
    <x v="8"/>
    <m/>
  </r>
  <r>
    <x v="2"/>
    <s v="50 City Quay 1st Occupier electricity"/>
    <s v="Electricity"/>
    <x v="9"/>
    <m/>
  </r>
  <r>
    <x v="2"/>
    <s v="50 City Quay 1st Occupier electricity"/>
    <s v="Electricity"/>
    <x v="10"/>
    <m/>
  </r>
  <r>
    <x v="2"/>
    <s v="50 City Quay 2nd 3rd Occupier electricity"/>
    <s v="Electricity"/>
    <x v="0"/>
    <m/>
  </r>
  <r>
    <x v="2"/>
    <s v="50 City Quay 2nd 3rd Occupier electricity"/>
    <s v="Electricity"/>
    <x v="1"/>
    <m/>
  </r>
  <r>
    <x v="2"/>
    <s v="50 City Quay 2nd 3rd Occupier electricity"/>
    <s v="Electricity"/>
    <x v="2"/>
    <m/>
  </r>
  <r>
    <x v="2"/>
    <s v="50 City Quay 2nd 3rd Occupier electricity"/>
    <s v="Electricity"/>
    <x v="3"/>
    <m/>
  </r>
  <r>
    <x v="2"/>
    <s v="50 City Quay 2nd 3rd Occupier electricity"/>
    <s v="Electricity"/>
    <x v="4"/>
    <m/>
  </r>
  <r>
    <x v="2"/>
    <s v="50 City Quay 2nd 3rd Occupier electricity"/>
    <s v="Electricity"/>
    <x v="5"/>
    <m/>
  </r>
  <r>
    <x v="2"/>
    <s v="50 City Quay 2nd 3rd Occupier electricity"/>
    <s v="Electricity"/>
    <x v="6"/>
    <m/>
  </r>
  <r>
    <x v="2"/>
    <s v="50 City Quay 2nd 3rd Occupier electricity"/>
    <s v="Electricity"/>
    <x v="7"/>
    <m/>
  </r>
  <r>
    <x v="2"/>
    <s v="50 City Quay 2nd 3rd Occupier electricity"/>
    <s v="Electricity"/>
    <x v="8"/>
    <m/>
  </r>
  <r>
    <x v="2"/>
    <s v="50 City Quay 2nd 3rd Occupier electricity"/>
    <s v="Electricity"/>
    <x v="9"/>
    <m/>
  </r>
  <r>
    <x v="3"/>
    <s v="[Historical data]_Landlord_Electricity_HiberniaE0011"/>
    <s v="Electricity"/>
    <x v="0"/>
    <m/>
  </r>
  <r>
    <x v="3"/>
    <s v="[Historical data]_Landlord_Electricity_HiberniaE0011"/>
    <s v="Electricity"/>
    <x v="1"/>
    <m/>
  </r>
  <r>
    <x v="3"/>
    <s v="[Historical data]_Landlord_Electricity_HiberniaE0011"/>
    <s v="Electricity"/>
    <x v="2"/>
    <m/>
  </r>
  <r>
    <x v="3"/>
    <s v="[Historical data]_Landlord_Electricity_HiberniaE0011"/>
    <s v="Electricity"/>
    <x v="3"/>
    <m/>
  </r>
  <r>
    <x v="3"/>
    <s v="[Historical data]_Landlord_Electricity_HiberniaE0011"/>
    <s v="Electricity"/>
    <x v="4"/>
    <m/>
  </r>
  <r>
    <x v="3"/>
    <s v="[Historical data]_Landlord_Electricity_HiberniaE0011"/>
    <s v="Electricity"/>
    <x v="5"/>
    <m/>
  </r>
  <r>
    <x v="3"/>
    <s v="[Historical data]_Landlord_Electricity_HiberniaE0011"/>
    <s v="Electricity"/>
    <x v="6"/>
    <m/>
  </r>
  <r>
    <x v="3"/>
    <s v="[Historical data]_Landlord_Electricity_HiberniaE0011"/>
    <s v="Electricity"/>
    <x v="7"/>
    <m/>
  </r>
  <r>
    <x v="3"/>
    <s v="[Historical data]_Landlord_Electricity_HiberniaE0011"/>
    <s v="Electricity"/>
    <x v="8"/>
    <m/>
  </r>
  <r>
    <x v="3"/>
    <s v="[Historical data]_Landlord_Electricity_HiberniaE0011"/>
    <s v="Electricity"/>
    <x v="9"/>
    <m/>
  </r>
  <r>
    <x v="3"/>
    <s v="[Historical data]_Landlord_Electricity_HiberniaE0011"/>
    <s v="Electricity"/>
    <x v="10"/>
    <m/>
  </r>
  <r>
    <x v="3"/>
    <s v="[Historical data]_Landlord_Electricity_HiberniaE0011"/>
    <s v="Electricity"/>
    <x v="11"/>
    <m/>
  </r>
  <r>
    <x v="3"/>
    <s v="[Historical data]_Landlord_Gas_HiberniaG0006"/>
    <s v="Gas"/>
    <x v="0"/>
    <m/>
  </r>
  <r>
    <x v="3"/>
    <s v="[Historical data]_Landlord_Gas_HiberniaG0006"/>
    <s v="Gas"/>
    <x v="1"/>
    <m/>
  </r>
  <r>
    <x v="3"/>
    <s v="[Historical data]_Landlord_Gas_HiberniaG0006"/>
    <s v="Gas"/>
    <x v="2"/>
    <m/>
  </r>
  <r>
    <x v="3"/>
    <s v="[Historical data]_Landlord_Gas_HiberniaG0006"/>
    <s v="Gas"/>
    <x v="3"/>
    <m/>
  </r>
  <r>
    <x v="3"/>
    <s v="[Historical data]_Landlord_Gas_HiberniaG0006"/>
    <s v="Gas"/>
    <x v="4"/>
    <m/>
  </r>
  <r>
    <x v="3"/>
    <s v="[Historical data]_Landlord_Gas_HiberniaG0006"/>
    <s v="Gas"/>
    <x v="5"/>
    <m/>
  </r>
  <r>
    <x v="3"/>
    <s v="[Historical data]_Landlord_Gas_HiberniaG0006"/>
    <s v="Gas"/>
    <x v="6"/>
    <m/>
  </r>
  <r>
    <x v="3"/>
    <s v="[Historical data]_Landlord_Gas_HiberniaG0006"/>
    <s v="Gas"/>
    <x v="7"/>
    <m/>
  </r>
  <r>
    <x v="3"/>
    <s v="[Historical data]_Landlord_Gas_HiberniaG0006"/>
    <s v="Gas"/>
    <x v="8"/>
    <m/>
  </r>
  <r>
    <x v="3"/>
    <s v="[Historical data]_Landlord_Gas_HiberniaG0006"/>
    <s v="Gas"/>
    <x v="9"/>
    <m/>
  </r>
  <r>
    <x v="3"/>
    <s v="[Historical data]_Landlord_Gas_HiberniaG0006"/>
    <s v="Gas"/>
    <x v="10"/>
    <m/>
  </r>
  <r>
    <x v="3"/>
    <s v="[Historical data]_Landlord_Gas_HiberniaG0006"/>
    <s v="Gas"/>
    <x v="11"/>
    <m/>
  </r>
  <r>
    <x v="3"/>
    <s v="Landlord_Water_HiberniaW0006"/>
    <s v="Water"/>
    <x v="0"/>
    <n v="53.802525491262102"/>
  </r>
  <r>
    <x v="3"/>
    <s v="Landlord_Water_HiberniaW0006"/>
    <s v="Water"/>
    <x v="1"/>
    <n v="51.016859182397397"/>
  </r>
  <r>
    <x v="3"/>
    <s v="Landlord_Water_HiberniaW0006"/>
    <s v="Water"/>
    <x v="2"/>
    <n v="51.0432727382438"/>
  </r>
  <r>
    <x v="3"/>
    <s v="Landlord_Water_HiberniaW0006"/>
    <s v="Water"/>
    <x v="3"/>
    <n v="54.076324613270302"/>
  </r>
  <r>
    <x v="3"/>
    <s v="Landlord_Water_HiberniaW0006"/>
    <s v="Water"/>
    <x v="4"/>
    <n v="101.801149630064"/>
  </r>
  <r>
    <x v="3"/>
    <s v="Landlord_Water_HiberniaW0006"/>
    <s v="Water"/>
    <x v="5"/>
    <n v="53.5126202114431"/>
  </r>
  <r>
    <x v="3"/>
    <s v="Landlord_Water_HiberniaW0006"/>
    <s v="Water"/>
    <x v="6"/>
    <n v="52.819424759425999"/>
  </r>
  <r>
    <x v="3"/>
    <s v="Landlord_Water_HiberniaW0006"/>
    <s v="Water"/>
    <x v="7"/>
    <n v="60.411717944912198"/>
  </r>
  <r>
    <x v="3"/>
    <s v="Landlord_Water_HiberniaW0006"/>
    <s v="Water"/>
    <x v="8"/>
    <n v="75.252283205482996"/>
  </r>
  <r>
    <x v="3"/>
    <s v="Landlord_Water_HiberniaW0006"/>
    <s v="Water"/>
    <x v="9"/>
    <n v="122.32385545277999"/>
  </r>
  <r>
    <x v="3"/>
    <s v="Landlord_Water_HiberniaW0006"/>
    <s v="Water"/>
    <x v="10"/>
    <n v="84.994383677483"/>
  </r>
  <r>
    <x v="3"/>
    <s v="Landlord_Water_HiberniaW0006"/>
    <s v="Water"/>
    <x v="11"/>
    <n v="119.500179912061"/>
  </r>
  <r>
    <x v="3"/>
    <s v="Hibernia0007_Twitter International Company"/>
    <s v="Electricity"/>
    <x v="0"/>
    <m/>
  </r>
  <r>
    <x v="3"/>
    <s v="Hibernia0007_Twitter International Company"/>
    <s v="Electricity"/>
    <x v="1"/>
    <m/>
  </r>
  <r>
    <x v="3"/>
    <s v="Hibernia0007_Twitter International Company"/>
    <s v="Electricity"/>
    <x v="2"/>
    <m/>
  </r>
  <r>
    <x v="3"/>
    <s v="Hibernia0007_Twitter International Company"/>
    <s v="Electricity"/>
    <x v="3"/>
    <m/>
  </r>
  <r>
    <x v="3"/>
    <s v="Hibernia0007_Twitter International Company"/>
    <s v="Electricity"/>
    <x v="4"/>
    <m/>
  </r>
  <r>
    <x v="3"/>
    <s v="Hibernia0007_Twitter International Company"/>
    <s v="Electricity"/>
    <x v="5"/>
    <m/>
  </r>
  <r>
    <x v="3"/>
    <s v="Hibernia0007_Twitter International Company"/>
    <s v="Electricity"/>
    <x v="6"/>
    <m/>
  </r>
  <r>
    <x v="3"/>
    <s v="Hibernia0007_Twitter International Company"/>
    <s v="Electricity"/>
    <x v="7"/>
    <m/>
  </r>
  <r>
    <x v="3"/>
    <s v="Hibernia0007_Twitter International Company"/>
    <s v="Electricity"/>
    <x v="8"/>
    <m/>
  </r>
  <r>
    <x v="3"/>
    <s v="Hibernia0007_Twitter International Company"/>
    <s v="Electricity"/>
    <x v="9"/>
    <m/>
  </r>
  <r>
    <x v="3"/>
    <s v="Hibernia0007_Twitter International Company"/>
    <s v="Electricity"/>
    <x v="10"/>
    <m/>
  </r>
  <r>
    <x v="3"/>
    <s v="Hibernia0007_Twitter International Company"/>
    <s v="Electricity"/>
    <x v="11"/>
    <m/>
  </r>
  <r>
    <x v="3"/>
    <s v="Hibernia0007_Travelport 5th 6th"/>
    <s v="Electricity"/>
    <x v="0"/>
    <m/>
  </r>
  <r>
    <x v="3"/>
    <s v="Hibernia0007_Travelport 5th 6th"/>
    <s v="Electricity"/>
    <x v="1"/>
    <m/>
  </r>
  <r>
    <x v="3"/>
    <s v="Hibernia0007_Travelport 5th 6th"/>
    <s v="Electricity"/>
    <x v="2"/>
    <m/>
  </r>
  <r>
    <x v="3"/>
    <s v="Hibernia0007_Travelport 5th 6th"/>
    <s v="Electricity"/>
    <x v="3"/>
    <m/>
  </r>
  <r>
    <x v="3"/>
    <s v="Hibernia0007_Travelport 5th 6th"/>
    <s v="Electricity"/>
    <x v="4"/>
    <m/>
  </r>
  <r>
    <x v="3"/>
    <s v="Hibernia0007_Travelport 5th 6th"/>
    <s v="Electricity"/>
    <x v="5"/>
    <m/>
  </r>
  <r>
    <x v="3"/>
    <s v="Hibernia0007_Travelport 5th 6th"/>
    <s v="Electricity"/>
    <x v="6"/>
    <m/>
  </r>
  <r>
    <x v="3"/>
    <s v="Hibernia0007_Travelport 5th 6th"/>
    <s v="Electricity"/>
    <x v="7"/>
    <m/>
  </r>
  <r>
    <x v="3"/>
    <s v="Hibernia0007_Travelport 5th 6th"/>
    <s v="Electricity"/>
    <x v="8"/>
    <m/>
  </r>
  <r>
    <x v="3"/>
    <s v="Hibernia0007_Travelport 5th 6th"/>
    <s v="Electricity"/>
    <x v="9"/>
    <m/>
  </r>
  <r>
    <x v="3"/>
    <s v="Hibernia0007_Travelport 5th 6th"/>
    <s v="Electricity"/>
    <x v="10"/>
    <m/>
  </r>
  <r>
    <x v="3"/>
    <s v="Hibernia0007_Travelport 5th 6th"/>
    <s v="Electricity"/>
    <x v="11"/>
    <m/>
  </r>
  <r>
    <x v="3"/>
    <s v="Hibernia0007_organic_waste"/>
    <s v="Waste"/>
    <x v="0"/>
    <m/>
  </r>
  <r>
    <x v="3"/>
    <s v="Hibernia0007_organic_waste"/>
    <s v="Waste"/>
    <x v="1"/>
    <m/>
  </r>
  <r>
    <x v="3"/>
    <s v="Hibernia0007_organic_waste"/>
    <s v="Waste"/>
    <x v="2"/>
    <m/>
  </r>
  <r>
    <x v="3"/>
    <s v="Hibernia0007_organic_waste"/>
    <s v="Waste"/>
    <x v="3"/>
    <m/>
  </r>
  <r>
    <x v="3"/>
    <s v="Hibernia0007_organic_waste"/>
    <s v="Waste"/>
    <x v="4"/>
    <m/>
  </r>
  <r>
    <x v="3"/>
    <s v="Hibernia0007_organic_waste"/>
    <s v="Waste"/>
    <x v="5"/>
    <m/>
  </r>
  <r>
    <x v="3"/>
    <s v="Hibernia0007_organic_waste"/>
    <s v="Waste"/>
    <x v="6"/>
    <m/>
  </r>
  <r>
    <x v="3"/>
    <s v="Hibernia0007_organic_waste"/>
    <s v="Waste"/>
    <x v="7"/>
    <m/>
  </r>
  <r>
    <x v="3"/>
    <s v="Hibernia0007_organic_waste"/>
    <s v="Waste"/>
    <x v="8"/>
    <m/>
  </r>
  <r>
    <x v="3"/>
    <s v="Hibernia0007_organic_waste"/>
    <s v="Waste"/>
    <x v="9"/>
    <m/>
  </r>
  <r>
    <x v="3"/>
    <s v="Hibernia0007_organic_waste"/>
    <s v="Waste"/>
    <x v="10"/>
    <m/>
  </r>
  <r>
    <x v="3"/>
    <s v="Hibernia0007_organic_waste"/>
    <s v="Waste"/>
    <x v="11"/>
    <m/>
  </r>
  <r>
    <x v="3"/>
    <s v="Hibernia0007_dry_mixed_recycling"/>
    <s v="Waste"/>
    <x v="0"/>
    <m/>
  </r>
  <r>
    <x v="3"/>
    <s v="Hibernia0007_dry_mixed_recycling"/>
    <s v="Waste"/>
    <x v="1"/>
    <m/>
  </r>
  <r>
    <x v="3"/>
    <s v="Hibernia0007_dry_mixed_recycling"/>
    <s v="Waste"/>
    <x v="2"/>
    <m/>
  </r>
  <r>
    <x v="3"/>
    <s v="Hibernia0007_dry_mixed_recycling"/>
    <s v="Waste"/>
    <x v="3"/>
    <m/>
  </r>
  <r>
    <x v="3"/>
    <s v="Hibernia0007_dry_mixed_recycling"/>
    <s v="Waste"/>
    <x v="4"/>
    <m/>
  </r>
  <r>
    <x v="3"/>
    <s v="Hibernia0007_dry_mixed_recycling"/>
    <s v="Waste"/>
    <x v="5"/>
    <m/>
  </r>
  <r>
    <x v="3"/>
    <s v="Hibernia0007_dry_mixed_recycling"/>
    <s v="Waste"/>
    <x v="6"/>
    <m/>
  </r>
  <r>
    <x v="3"/>
    <s v="Hibernia0007_dry_mixed_recycling"/>
    <s v="Waste"/>
    <x v="7"/>
    <m/>
  </r>
  <r>
    <x v="3"/>
    <s v="Hibernia0007_dry_mixed_recycling"/>
    <s v="Waste"/>
    <x v="8"/>
    <m/>
  </r>
  <r>
    <x v="3"/>
    <s v="Hibernia0007_dry_mixed_recycling"/>
    <s v="Waste"/>
    <x v="9"/>
    <m/>
  </r>
  <r>
    <x v="3"/>
    <s v="Hibernia0007_dry_mixed_recycling"/>
    <s v="Waste"/>
    <x v="10"/>
    <m/>
  </r>
  <r>
    <x v="3"/>
    <s v="Hibernia0007_dry_mixed_recycling"/>
    <s v="Waste"/>
    <x v="11"/>
    <m/>
  </r>
  <r>
    <x v="3"/>
    <s v="Hibernia0007_commercial_and_industrial_waste"/>
    <s v="Waste"/>
    <x v="0"/>
    <m/>
  </r>
  <r>
    <x v="3"/>
    <s v="Hibernia0007_commercial_and_industrial_waste"/>
    <s v="Waste"/>
    <x v="1"/>
    <m/>
  </r>
  <r>
    <x v="3"/>
    <s v="Hibernia0007_commercial_and_industrial_waste"/>
    <s v="Waste"/>
    <x v="2"/>
    <m/>
  </r>
  <r>
    <x v="3"/>
    <s v="Hibernia0007_commercial_and_industrial_waste"/>
    <s v="Waste"/>
    <x v="3"/>
    <m/>
  </r>
  <r>
    <x v="3"/>
    <s v="Hibernia0007_commercial_and_industrial_waste"/>
    <s v="Waste"/>
    <x v="4"/>
    <m/>
  </r>
  <r>
    <x v="3"/>
    <s v="Hibernia0007_commercial_and_industrial_waste"/>
    <s v="Waste"/>
    <x v="5"/>
    <m/>
  </r>
  <r>
    <x v="3"/>
    <s v="Hibernia0007_commercial_and_industrial_waste"/>
    <s v="Waste"/>
    <x v="6"/>
    <m/>
  </r>
  <r>
    <x v="3"/>
    <s v="Hibernia0007_commercial_and_industrial_waste"/>
    <s v="Waste"/>
    <x v="7"/>
    <m/>
  </r>
  <r>
    <x v="3"/>
    <s v="Hibernia0007_commercial_and_industrial_waste"/>
    <s v="Waste"/>
    <x v="8"/>
    <m/>
  </r>
  <r>
    <x v="3"/>
    <s v="Hibernia0007_commercial_and_industrial_waste"/>
    <s v="Waste"/>
    <x v="9"/>
    <m/>
  </r>
  <r>
    <x v="3"/>
    <s v="Hibernia0007_commercial_and_industrial_waste"/>
    <s v="Waste"/>
    <x v="10"/>
    <m/>
  </r>
  <r>
    <x v="3"/>
    <s v="Hibernia0007_commercial_and_industrial_waste"/>
    <s v="Waste"/>
    <x v="11"/>
    <m/>
  </r>
  <r>
    <x v="4"/>
    <s v="[Historical data]_Landlord_Electricity_HiberniaE0032"/>
    <s v="Electricity"/>
    <x v="0"/>
    <m/>
  </r>
  <r>
    <x v="4"/>
    <s v="[Historical data]_Landlord_Electricity_HiberniaE0032"/>
    <s v="Electricity"/>
    <x v="1"/>
    <m/>
  </r>
  <r>
    <x v="4"/>
    <s v="[Historical data]_Landlord_Electricity_HiberniaE0032"/>
    <s v="Electricity"/>
    <x v="2"/>
    <m/>
  </r>
  <r>
    <x v="4"/>
    <s v="[Historical data]_Landlord_Electricity_HiberniaE0032"/>
    <s v="Electricity"/>
    <x v="3"/>
    <m/>
  </r>
  <r>
    <x v="4"/>
    <s v="[Historical data]_Landlord_Electricity_HiberniaE0032"/>
    <s v="Electricity"/>
    <x v="4"/>
    <m/>
  </r>
  <r>
    <x v="4"/>
    <s v="[Historical data]_Landlord_Electricity_HiberniaE0032"/>
    <s v="Electricity"/>
    <x v="5"/>
    <m/>
  </r>
  <r>
    <x v="4"/>
    <s v="[Historical data]_Landlord_Electricity_HiberniaE0032"/>
    <s v="Electricity"/>
    <x v="6"/>
    <m/>
  </r>
  <r>
    <x v="4"/>
    <s v="[Historical data]_Landlord_Electricity_HiberniaE0032"/>
    <s v="Electricity"/>
    <x v="7"/>
    <m/>
  </r>
  <r>
    <x v="4"/>
    <s v="[Historical data]_Landlord_Electricity_HiberniaE0032"/>
    <s v="Electricity"/>
    <x v="8"/>
    <m/>
  </r>
  <r>
    <x v="4"/>
    <s v="[Historical data]_Landlord_Electricity_HiberniaE0032"/>
    <s v="Electricity"/>
    <x v="9"/>
    <m/>
  </r>
  <r>
    <x v="4"/>
    <s v="[Historical data]_Landlord_Electricity_HiberniaE0032"/>
    <s v="Electricity"/>
    <x v="10"/>
    <m/>
  </r>
  <r>
    <x v="4"/>
    <s v="[Historical data]_Landlord_Electricity_HiberniaE0032"/>
    <s v="Electricity"/>
    <x v="11"/>
    <m/>
  </r>
  <r>
    <x v="4"/>
    <s v="[Historical data]_Landlord_Gas_HiberniaG0020"/>
    <s v="Gas"/>
    <x v="0"/>
    <m/>
  </r>
  <r>
    <x v="4"/>
    <s v="[Historical data]_Landlord_Gas_HiberniaG0020"/>
    <s v="Gas"/>
    <x v="1"/>
    <m/>
  </r>
  <r>
    <x v="4"/>
    <s v="[Historical data]_Landlord_Gas_HiberniaG0020"/>
    <s v="Gas"/>
    <x v="2"/>
    <m/>
  </r>
  <r>
    <x v="4"/>
    <s v="[Historical data]_Landlord_Gas_HiberniaG0020"/>
    <s v="Gas"/>
    <x v="3"/>
    <m/>
  </r>
  <r>
    <x v="4"/>
    <s v="[Historical data]_Landlord_Gas_HiberniaG0020"/>
    <s v="Gas"/>
    <x v="4"/>
    <m/>
  </r>
  <r>
    <x v="4"/>
    <s v="[Historical data]_Landlord_Gas_HiberniaG0020"/>
    <s v="Gas"/>
    <x v="5"/>
    <m/>
  </r>
  <r>
    <x v="4"/>
    <s v="[Historical data]_Landlord_Gas_HiberniaG0020"/>
    <s v="Gas"/>
    <x v="6"/>
    <m/>
  </r>
  <r>
    <x v="4"/>
    <s v="[Historical data]_Landlord_Gas_HiberniaG0020"/>
    <s v="Gas"/>
    <x v="7"/>
    <m/>
  </r>
  <r>
    <x v="4"/>
    <s v="[Historical data]_Landlord_Gas_HiberniaG0020"/>
    <s v="Gas"/>
    <x v="8"/>
    <m/>
  </r>
  <r>
    <x v="4"/>
    <s v="[Historical data]_Landlord_Gas_HiberniaG0020"/>
    <s v="Gas"/>
    <x v="9"/>
    <m/>
  </r>
  <r>
    <x v="4"/>
    <s v="[Historical data]_Landlord_Gas_HiberniaG0020"/>
    <s v="Gas"/>
    <x v="10"/>
    <m/>
  </r>
  <r>
    <x v="4"/>
    <s v="[Historical data]_Landlord_Gas_HiberniaG0020"/>
    <s v="Gas"/>
    <x v="11"/>
    <m/>
  </r>
  <r>
    <x v="4"/>
    <s v="[Historical data]_Landlord_Water_HiberniaW0020"/>
    <s v="Water"/>
    <x v="0"/>
    <n v="29.711474946193"/>
  </r>
  <r>
    <x v="4"/>
    <s v="[Historical data]_Landlord_Water_HiberniaW0020"/>
    <s v="Water"/>
    <x v="1"/>
    <n v="28.173140936988698"/>
  </r>
  <r>
    <x v="4"/>
    <s v="[Historical data]_Landlord_Water_HiberniaW0020"/>
    <s v="Water"/>
    <x v="2"/>
    <n v="28.187727347117399"/>
  </r>
  <r>
    <x v="4"/>
    <s v="[Historical data]_Landlord_Water_HiberniaW0020"/>
    <s v="Water"/>
    <x v="3"/>
    <n v="29.862675576266799"/>
  </r>
  <r>
    <x v="4"/>
    <s v="[Historical data]_Landlord_Water_HiberniaW0020"/>
    <s v="Water"/>
    <x v="4"/>
    <n v="56.217849982126701"/>
  </r>
  <r>
    <x v="4"/>
    <s v="[Historical data]_Landlord_Water_HiberniaW0020"/>
    <s v="Water"/>
    <x v="5"/>
    <n v="29.5513799807715"/>
  </r>
  <r>
    <x v="4"/>
    <s v="[Historical data]_Landlord_Water_HiberniaW0020"/>
    <s v="Water"/>
    <x v="6"/>
    <n v="29.168575286802898"/>
  </r>
  <r>
    <x v="4"/>
    <s v="[Historical data]_Landlord_Water_HiberniaW0020"/>
    <s v="Water"/>
    <x v="7"/>
    <n v="33.3612823522243"/>
  </r>
  <r>
    <x v="4"/>
    <s v="[Historical data]_Landlord_Water_HiberniaW0020"/>
    <s v="Water"/>
    <x v="8"/>
    <n v="41.5567170256097"/>
  </r>
  <r>
    <x v="4"/>
    <s v="[Historical data]_Landlord_Water_HiberniaW0020"/>
    <s v="Water"/>
    <x v="9"/>
    <n v="67.551144363981379"/>
  </r>
  <r>
    <x v="4"/>
    <s v="[Historical data]_Landlord_Water_HiberniaW0020"/>
    <s v="Water"/>
    <x v="10"/>
    <n v="46.936616416097102"/>
  </r>
  <r>
    <x v="4"/>
    <s v="[Historical data]_Landlord_Water_HiberniaW0020"/>
    <s v="Water"/>
    <x v="11"/>
    <n v="65.991820441577602"/>
  </r>
  <r>
    <x v="4"/>
    <s v="2CP lower ground Occupier electricity"/>
    <s v="Electricity"/>
    <x v="0"/>
    <m/>
  </r>
  <r>
    <x v="4"/>
    <s v="2CP lower ground Occupier electricity"/>
    <s v="Electricity"/>
    <x v="1"/>
    <m/>
  </r>
  <r>
    <x v="4"/>
    <s v="2CP lower ground Occupier electricity"/>
    <s v="Electricity"/>
    <x v="2"/>
    <m/>
  </r>
  <r>
    <x v="4"/>
    <s v="2CP lower ground Occupier electricity"/>
    <s v="Electricity"/>
    <x v="3"/>
    <m/>
  </r>
  <r>
    <x v="4"/>
    <s v="2CP lower ground Occupier electricity"/>
    <s v="Electricity"/>
    <x v="4"/>
    <m/>
  </r>
  <r>
    <x v="4"/>
    <s v="2CP lower ground Occupier electricity"/>
    <s v="Electricity"/>
    <x v="5"/>
    <m/>
  </r>
  <r>
    <x v="4"/>
    <s v="2CP Ground occupier electricity"/>
    <s v="Electricity"/>
    <x v="0"/>
    <m/>
  </r>
  <r>
    <x v="4"/>
    <s v="2CP Ground occupier electricity"/>
    <s v="Electricity"/>
    <x v="1"/>
    <m/>
  </r>
  <r>
    <x v="4"/>
    <s v="2CP Ground occupier electricity"/>
    <s v="Electricity"/>
    <x v="2"/>
    <m/>
  </r>
  <r>
    <x v="4"/>
    <s v="2CP Ground occupier electricity"/>
    <s v="Electricity"/>
    <x v="3"/>
    <m/>
  </r>
  <r>
    <x v="4"/>
    <s v="2CP Ground occupier electricity"/>
    <s v="Electricity"/>
    <x v="4"/>
    <m/>
  </r>
  <r>
    <x v="4"/>
    <s v="2CP Ground occupier electricity"/>
    <s v="Electricity"/>
    <x v="5"/>
    <m/>
  </r>
  <r>
    <x v="4"/>
    <s v="2CP Ground occupier electricity"/>
    <s v="Electricity"/>
    <x v="6"/>
    <m/>
  </r>
  <r>
    <x v="4"/>
    <s v="2CP Ground occupier electricity"/>
    <s v="Electricity"/>
    <x v="7"/>
    <m/>
  </r>
  <r>
    <x v="4"/>
    <s v="2CP Ground occupier electricity"/>
    <s v="Electricity"/>
    <x v="8"/>
    <m/>
  </r>
  <r>
    <x v="4"/>
    <s v="2CP Ground occupier electricity"/>
    <s v="Electricity"/>
    <x v="9"/>
    <m/>
  </r>
  <r>
    <x v="4"/>
    <s v="2CP Ground occupier electricity"/>
    <s v="Electricity"/>
    <x v="10"/>
    <m/>
  </r>
  <r>
    <x v="4"/>
    <s v="2CP Ground occupier electricity"/>
    <s v="Electricity"/>
    <x v="11"/>
    <m/>
  </r>
  <r>
    <x v="4"/>
    <s v="2CP 1st Occupier electricity"/>
    <s v="Electricity"/>
    <x v="0"/>
    <m/>
  </r>
  <r>
    <x v="4"/>
    <s v="2CP 1st Occupier electricity"/>
    <s v="Electricity"/>
    <x v="1"/>
    <m/>
  </r>
  <r>
    <x v="4"/>
    <s v="2CP 1st Occupier electricity"/>
    <s v="Electricity"/>
    <x v="2"/>
    <m/>
  </r>
  <r>
    <x v="4"/>
    <s v="2CP 1st Occupier electricity"/>
    <s v="Electricity"/>
    <x v="3"/>
    <m/>
  </r>
  <r>
    <x v="4"/>
    <s v="2CP 1st Occupier electricity"/>
    <s v="Electricity"/>
    <x v="4"/>
    <m/>
  </r>
  <r>
    <x v="4"/>
    <s v="2CP 1st Occupier electricity"/>
    <s v="Electricity"/>
    <x v="5"/>
    <m/>
  </r>
  <r>
    <x v="4"/>
    <s v="2CP 1st Occupier electricity"/>
    <s v="Electricity"/>
    <x v="6"/>
    <m/>
  </r>
  <r>
    <x v="4"/>
    <s v="2CP 1st Occupier electricity"/>
    <s v="Electricity"/>
    <x v="7"/>
    <m/>
  </r>
  <r>
    <x v="4"/>
    <s v="2CP 1st Occupier electricity"/>
    <s v="Electricity"/>
    <x v="8"/>
    <m/>
  </r>
  <r>
    <x v="4"/>
    <s v="2CP 1st Occupier electricity"/>
    <s v="Electricity"/>
    <x v="9"/>
    <m/>
  </r>
  <r>
    <x v="4"/>
    <s v="2CP 1st Occupier electricity"/>
    <s v="Electricity"/>
    <x v="10"/>
    <m/>
  </r>
  <r>
    <x v="4"/>
    <s v="2CP 1st Occupier electricity"/>
    <s v="Electricity"/>
    <x v="11"/>
    <m/>
  </r>
  <r>
    <x v="4"/>
    <s v="2CP 2nd Occupier electricity"/>
    <s v="Electricity"/>
    <x v="0"/>
    <m/>
  </r>
  <r>
    <x v="4"/>
    <s v="2CP 2nd Occupier electricity"/>
    <s v="Electricity"/>
    <x v="1"/>
    <m/>
  </r>
  <r>
    <x v="4"/>
    <s v="2CP 2nd Occupier electricity"/>
    <s v="Electricity"/>
    <x v="2"/>
    <m/>
  </r>
  <r>
    <x v="4"/>
    <s v="2CP 2nd Occupier electricity"/>
    <s v="Electricity"/>
    <x v="3"/>
    <m/>
  </r>
  <r>
    <x v="4"/>
    <s v="2CP 2nd Occupier electricity"/>
    <s v="Electricity"/>
    <x v="4"/>
    <m/>
  </r>
  <r>
    <x v="4"/>
    <s v="2CP 2nd Occupier electricity"/>
    <s v="Electricity"/>
    <x v="5"/>
    <m/>
  </r>
  <r>
    <x v="4"/>
    <s v="2CP 2nd Occupier electricity"/>
    <s v="Electricity"/>
    <x v="6"/>
    <m/>
  </r>
  <r>
    <x v="4"/>
    <s v="2CP 2nd Occupier electricity"/>
    <s v="Electricity"/>
    <x v="7"/>
    <m/>
  </r>
  <r>
    <x v="4"/>
    <s v="2CP 2nd Occupier electricity"/>
    <s v="Electricity"/>
    <x v="8"/>
    <m/>
  </r>
  <r>
    <x v="4"/>
    <s v="2CP 2nd Occupier electricity"/>
    <s v="Electricity"/>
    <x v="9"/>
    <m/>
  </r>
  <r>
    <x v="4"/>
    <s v="2CP 2nd Occupier electricity"/>
    <s v="Electricity"/>
    <x v="10"/>
    <m/>
  </r>
  <r>
    <x v="4"/>
    <s v="2CP 2nd Occupier electricity"/>
    <s v="Electricity"/>
    <x v="11"/>
    <m/>
  </r>
  <r>
    <x v="4"/>
    <s v="2CP 3rd Occupier electricity"/>
    <s v="Electricity"/>
    <x v="0"/>
    <m/>
  </r>
  <r>
    <x v="4"/>
    <s v="2CP 3rd Occupier electricity"/>
    <s v="Electricity"/>
    <x v="1"/>
    <m/>
  </r>
  <r>
    <x v="4"/>
    <s v="2CP 3rd Occupier electricity"/>
    <s v="Electricity"/>
    <x v="2"/>
    <m/>
  </r>
  <r>
    <x v="4"/>
    <s v="2CP 3rd Occupier electricity"/>
    <s v="Electricity"/>
    <x v="3"/>
    <m/>
  </r>
  <r>
    <x v="4"/>
    <s v="2CP 3rd Occupier electricity"/>
    <s v="Electricity"/>
    <x v="4"/>
    <m/>
  </r>
  <r>
    <x v="4"/>
    <s v="2CP 3rd Occupier electricity"/>
    <s v="Electricity"/>
    <x v="5"/>
    <m/>
  </r>
  <r>
    <x v="4"/>
    <s v="2CP 3rd Occupier electricity"/>
    <s v="Electricity"/>
    <x v="6"/>
    <m/>
  </r>
  <r>
    <x v="4"/>
    <s v="2CP 3rd Occupier electricity"/>
    <s v="Electricity"/>
    <x v="7"/>
    <m/>
  </r>
  <r>
    <x v="4"/>
    <s v="2CP 3rd Occupier electricity"/>
    <s v="Electricity"/>
    <x v="8"/>
    <m/>
  </r>
  <r>
    <x v="4"/>
    <s v="2CP 3rd Occupier electricity"/>
    <s v="Electricity"/>
    <x v="9"/>
    <m/>
  </r>
  <r>
    <x v="4"/>
    <s v="2CP 3rd Occupier electricity"/>
    <s v="Electricity"/>
    <x v="10"/>
    <m/>
  </r>
  <r>
    <x v="4"/>
    <s v="2CP 3rd Occupier electricity"/>
    <s v="Electricity"/>
    <x v="11"/>
    <m/>
  </r>
  <r>
    <x v="4"/>
    <s v="2CP 4th 5th 6th Occupier electricity"/>
    <s v="Electricity"/>
    <x v="0"/>
    <m/>
  </r>
  <r>
    <x v="4"/>
    <s v="2CP 4th 5th 6th Occupier electricity"/>
    <s v="Electricity"/>
    <x v="1"/>
    <m/>
  </r>
  <r>
    <x v="4"/>
    <s v="2CP 4th 5th 6th Occupier electricity"/>
    <s v="Electricity"/>
    <x v="2"/>
    <m/>
  </r>
  <r>
    <x v="4"/>
    <s v="2CP 4th 5th 6th Occupier electricity"/>
    <s v="Electricity"/>
    <x v="3"/>
    <m/>
  </r>
  <r>
    <x v="4"/>
    <s v="2CP 4th 5th 6th Occupier electricity"/>
    <s v="Electricity"/>
    <x v="4"/>
    <m/>
  </r>
  <r>
    <x v="4"/>
    <s v="2CP 4th 5th 6th Occupier electricity"/>
    <s v="Electricity"/>
    <x v="5"/>
    <m/>
  </r>
  <r>
    <x v="4"/>
    <s v="2CP 4th 5th 6th Occupier electricity"/>
    <s v="Electricity"/>
    <x v="6"/>
    <m/>
  </r>
  <r>
    <x v="4"/>
    <s v="2CP 4th 5th 6th Occupier electricity"/>
    <s v="Electricity"/>
    <x v="7"/>
    <m/>
  </r>
  <r>
    <x v="4"/>
    <s v="2CP 4th 5th 6th Occupier electricity"/>
    <s v="Electricity"/>
    <x v="8"/>
    <m/>
  </r>
  <r>
    <x v="4"/>
    <s v="2CP 4th 5th 6th Occupier electricity"/>
    <s v="Electricity"/>
    <x v="9"/>
    <m/>
  </r>
  <r>
    <x v="4"/>
    <s v="2CP 4th 5th 6th Occupier electricity"/>
    <s v="Electricity"/>
    <x v="10"/>
    <m/>
  </r>
  <r>
    <x v="4"/>
    <s v="2CP 4th 5th 6th Occupier electricity"/>
    <s v="Electricity"/>
    <x v="11"/>
    <m/>
  </r>
  <r>
    <x v="4"/>
    <s v="2CP Cafe occupier electricity"/>
    <s v="Electricity"/>
    <x v="0"/>
    <m/>
  </r>
  <r>
    <x v="4"/>
    <s v="2CP Cafe occupier electricity"/>
    <s v="Electricity"/>
    <x v="1"/>
    <m/>
  </r>
  <r>
    <x v="4"/>
    <s v="2CP Cafe occupier electricity"/>
    <s v="Electricity"/>
    <x v="2"/>
    <m/>
  </r>
  <r>
    <x v="4"/>
    <s v="2CP Cafe occupier electricity"/>
    <s v="Electricity"/>
    <x v="3"/>
    <m/>
  </r>
  <r>
    <x v="4"/>
    <s v="2CP Cafe occupier electricity"/>
    <s v="Electricity"/>
    <x v="4"/>
    <m/>
  </r>
  <r>
    <x v="4"/>
    <s v="2CP Cafe occupier electricity"/>
    <s v="Electricity"/>
    <x v="5"/>
    <m/>
  </r>
  <r>
    <x v="4"/>
    <s v="2CP Cafe occupier electricity"/>
    <s v="Electricity"/>
    <x v="6"/>
    <m/>
  </r>
  <r>
    <x v="4"/>
    <s v="2CP Cafe occupier electricity"/>
    <s v="Electricity"/>
    <x v="7"/>
    <m/>
  </r>
  <r>
    <x v="4"/>
    <s v="2CP Cafe occupier electricity"/>
    <s v="Electricity"/>
    <x v="8"/>
    <m/>
  </r>
  <r>
    <x v="4"/>
    <s v="2CP Cafe occupier electricity"/>
    <s v="Electricity"/>
    <x v="9"/>
    <m/>
  </r>
  <r>
    <x v="4"/>
    <s v="2CP Cafe occupier electricity"/>
    <s v="Electricity"/>
    <x v="10"/>
    <m/>
  </r>
  <r>
    <x v="4"/>
    <s v="Hibernia0008_organic_waste"/>
    <s v="Waste"/>
    <x v="0"/>
    <m/>
  </r>
  <r>
    <x v="4"/>
    <s v="Hibernia0008_organic_waste"/>
    <s v="Waste"/>
    <x v="1"/>
    <m/>
  </r>
  <r>
    <x v="4"/>
    <s v="Hibernia0008_organic_waste"/>
    <s v="Waste"/>
    <x v="2"/>
    <m/>
  </r>
  <r>
    <x v="4"/>
    <s v="Hibernia0008_organic_waste"/>
    <s v="Waste"/>
    <x v="3"/>
    <m/>
  </r>
  <r>
    <x v="4"/>
    <s v="Hibernia0008_organic_waste"/>
    <s v="Waste"/>
    <x v="4"/>
    <m/>
  </r>
  <r>
    <x v="4"/>
    <s v="Hibernia0008_organic_waste"/>
    <s v="Waste"/>
    <x v="5"/>
    <m/>
  </r>
  <r>
    <x v="4"/>
    <s v="Hibernia0008_organic_waste"/>
    <s v="Waste"/>
    <x v="6"/>
    <m/>
  </r>
  <r>
    <x v="4"/>
    <s v="Hibernia0008_organic_waste"/>
    <s v="Waste"/>
    <x v="7"/>
    <m/>
  </r>
  <r>
    <x v="4"/>
    <s v="Hibernia0008_organic_waste"/>
    <s v="Waste"/>
    <x v="8"/>
    <m/>
  </r>
  <r>
    <x v="4"/>
    <s v="Hibernia0008_organic_waste"/>
    <s v="Waste"/>
    <x v="9"/>
    <m/>
  </r>
  <r>
    <x v="4"/>
    <s v="Hibernia0008_organic_waste"/>
    <s v="Waste"/>
    <x v="10"/>
    <m/>
  </r>
  <r>
    <x v="4"/>
    <s v="Hibernia0008_organic_waste"/>
    <s v="Waste"/>
    <x v="11"/>
    <m/>
  </r>
  <r>
    <x v="4"/>
    <s v="Hibernia0008_dry_mixed_recycling"/>
    <s v="Waste"/>
    <x v="0"/>
    <m/>
  </r>
  <r>
    <x v="4"/>
    <s v="Hibernia0008_dry_mixed_recycling"/>
    <s v="Waste"/>
    <x v="1"/>
    <m/>
  </r>
  <r>
    <x v="4"/>
    <s v="Hibernia0008_dry_mixed_recycling"/>
    <s v="Waste"/>
    <x v="2"/>
    <m/>
  </r>
  <r>
    <x v="4"/>
    <s v="Hibernia0008_dry_mixed_recycling"/>
    <s v="Waste"/>
    <x v="3"/>
    <m/>
  </r>
  <r>
    <x v="4"/>
    <s v="Hibernia0008_dry_mixed_recycling"/>
    <s v="Waste"/>
    <x v="4"/>
    <m/>
  </r>
  <r>
    <x v="4"/>
    <s v="Hibernia0008_dry_mixed_recycling"/>
    <s v="Waste"/>
    <x v="5"/>
    <m/>
  </r>
  <r>
    <x v="4"/>
    <s v="Hibernia0008_dry_mixed_recycling"/>
    <s v="Waste"/>
    <x v="6"/>
    <m/>
  </r>
  <r>
    <x v="4"/>
    <s v="Hibernia0008_dry_mixed_recycling"/>
    <s v="Waste"/>
    <x v="7"/>
    <m/>
  </r>
  <r>
    <x v="4"/>
    <s v="Hibernia0008_dry_mixed_recycling"/>
    <s v="Waste"/>
    <x v="8"/>
    <m/>
  </r>
  <r>
    <x v="4"/>
    <s v="Hibernia0008_dry_mixed_recycling"/>
    <s v="Waste"/>
    <x v="9"/>
    <m/>
  </r>
  <r>
    <x v="4"/>
    <s v="Hibernia0008_dry_mixed_recycling"/>
    <s v="Waste"/>
    <x v="10"/>
    <m/>
  </r>
  <r>
    <x v="4"/>
    <s v="Hibernia0008_dry_mixed_recycling"/>
    <s v="Waste"/>
    <x v="11"/>
    <m/>
  </r>
  <r>
    <x v="4"/>
    <s v="Hibernia0008_commercial_and_industrial_waste"/>
    <s v="Waste"/>
    <x v="0"/>
    <m/>
  </r>
  <r>
    <x v="4"/>
    <s v="Hibernia0008_commercial_and_industrial_waste"/>
    <s v="Waste"/>
    <x v="1"/>
    <m/>
  </r>
  <r>
    <x v="4"/>
    <s v="Hibernia0008_commercial_and_industrial_waste"/>
    <s v="Waste"/>
    <x v="2"/>
    <m/>
  </r>
  <r>
    <x v="4"/>
    <s v="Hibernia0008_commercial_and_industrial_waste"/>
    <s v="Waste"/>
    <x v="3"/>
    <m/>
  </r>
  <r>
    <x v="4"/>
    <s v="Hibernia0008_commercial_and_industrial_waste"/>
    <s v="Waste"/>
    <x v="4"/>
    <m/>
  </r>
  <r>
    <x v="4"/>
    <s v="Hibernia0008_commercial_and_industrial_waste"/>
    <s v="Waste"/>
    <x v="5"/>
    <m/>
  </r>
  <r>
    <x v="4"/>
    <s v="Hibernia0008_commercial_and_industrial_waste"/>
    <s v="Waste"/>
    <x v="6"/>
    <m/>
  </r>
  <r>
    <x v="4"/>
    <s v="Hibernia0008_commercial_and_industrial_waste"/>
    <s v="Waste"/>
    <x v="7"/>
    <m/>
  </r>
  <r>
    <x v="4"/>
    <s v="Hibernia0008_commercial_and_industrial_waste"/>
    <s v="Waste"/>
    <x v="8"/>
    <m/>
  </r>
  <r>
    <x v="4"/>
    <s v="Hibernia0008_commercial_and_industrial_waste"/>
    <s v="Waste"/>
    <x v="9"/>
    <m/>
  </r>
  <r>
    <x v="4"/>
    <s v="Hibernia0008_commercial_and_industrial_waste"/>
    <s v="Waste"/>
    <x v="10"/>
    <m/>
  </r>
  <r>
    <x v="4"/>
    <s v="Hibernia0008_commercial_and_industrial_waste"/>
    <s v="Waste"/>
    <x v="11"/>
    <m/>
  </r>
  <r>
    <x v="5"/>
    <s v="[Historical data]_Landlord_Electricity_HiberniaE0013"/>
    <s v="Electricity"/>
    <x v="0"/>
    <m/>
  </r>
  <r>
    <x v="5"/>
    <s v="[Historical data]_Landlord_Electricity_HiberniaE0013"/>
    <s v="Electricity"/>
    <x v="1"/>
    <m/>
  </r>
  <r>
    <x v="5"/>
    <s v="[Historical data]_Landlord_Electricity_HiberniaE0013"/>
    <s v="Electricity"/>
    <x v="2"/>
    <m/>
  </r>
  <r>
    <x v="5"/>
    <s v="[Historical data]_Landlord_Electricity_HiberniaE0013"/>
    <s v="Electricity"/>
    <x v="3"/>
    <m/>
  </r>
  <r>
    <x v="5"/>
    <s v="[Historical data]_Landlord_Electricity_HiberniaE0013"/>
    <s v="Electricity"/>
    <x v="4"/>
    <m/>
  </r>
  <r>
    <x v="5"/>
    <s v="[Historical data]_Landlord_Electricity_HiberniaE0013"/>
    <s v="Electricity"/>
    <x v="5"/>
    <m/>
  </r>
  <r>
    <x v="5"/>
    <s v="[Historical data]_Landlord_Electricity_HiberniaE0013"/>
    <s v="Electricity"/>
    <x v="6"/>
    <m/>
  </r>
  <r>
    <x v="5"/>
    <s v="[Historical data]_Landlord_Electricity_HiberniaE0013"/>
    <s v="Electricity"/>
    <x v="7"/>
    <m/>
  </r>
  <r>
    <x v="5"/>
    <s v="[Historical data]_Landlord_Electricity_HiberniaE0013"/>
    <s v="Electricity"/>
    <x v="8"/>
    <m/>
  </r>
  <r>
    <x v="5"/>
    <s v="[Historical data]_Landlord_Electricity_HiberniaE0013"/>
    <s v="Electricity"/>
    <x v="9"/>
    <m/>
  </r>
  <r>
    <x v="5"/>
    <s v="[Historical data]_Landlord_Electricity_HiberniaE0013"/>
    <s v="Electricity"/>
    <x v="10"/>
    <m/>
  </r>
  <r>
    <x v="5"/>
    <s v="[Historical data]_Landlord_Electricity_HiberniaE0013"/>
    <s v="Electricity"/>
    <x v="11"/>
    <m/>
  </r>
  <r>
    <x v="5"/>
    <s v="[Historical data]_Tenant_electricity_HiberniaE0014"/>
    <s v="Electricity"/>
    <x v="0"/>
    <m/>
  </r>
  <r>
    <x v="5"/>
    <s v="[Historical data]_Tenant_electricity_HiberniaE0014"/>
    <s v="Electricity"/>
    <x v="1"/>
    <m/>
  </r>
  <r>
    <x v="5"/>
    <s v="[Historical data]_Tenant_electricity_HiberniaE0014"/>
    <s v="Electricity"/>
    <x v="2"/>
    <m/>
  </r>
  <r>
    <x v="5"/>
    <s v="[Historical data]_Tenant_electricity_HiberniaE0014"/>
    <s v="Electricity"/>
    <x v="3"/>
    <m/>
  </r>
  <r>
    <x v="5"/>
    <s v="[Historical data]_Tenant_electricity_HiberniaE0014"/>
    <s v="Electricity"/>
    <x v="4"/>
    <m/>
  </r>
  <r>
    <x v="5"/>
    <s v="[Historical data]_Tenant_electricity_HiberniaE0014"/>
    <s v="Electricity"/>
    <x v="5"/>
    <m/>
  </r>
  <r>
    <x v="5"/>
    <s v="[Historical data]_Tenant_electricity_HiberniaE0014"/>
    <s v="Electricity"/>
    <x v="6"/>
    <m/>
  </r>
  <r>
    <x v="5"/>
    <s v="[Historical data]_Tenant_electricity_HiberniaE0014"/>
    <s v="Electricity"/>
    <x v="7"/>
    <m/>
  </r>
  <r>
    <x v="5"/>
    <s v="[Historical data]_Tenant_electricity_HiberniaE0014"/>
    <s v="Electricity"/>
    <x v="8"/>
    <m/>
  </r>
  <r>
    <x v="5"/>
    <s v="[Historical data]_Tenant_electricity_HiberniaE0014"/>
    <s v="Electricity"/>
    <x v="9"/>
    <m/>
  </r>
  <r>
    <x v="5"/>
    <s v="[Historical data]_Tenant_electricity_HiberniaE0014"/>
    <s v="Electricity"/>
    <x v="10"/>
    <m/>
  </r>
  <r>
    <x v="5"/>
    <s v="[Historical data]_Tenant_electricity_HiberniaE0014"/>
    <s v="Electricity"/>
    <x v="11"/>
    <m/>
  </r>
  <r>
    <x v="5"/>
    <s v="[Historical data]_Tenant_Gas_HiberniaG0008"/>
    <s v="Gas"/>
    <x v="6"/>
    <m/>
  </r>
  <r>
    <x v="5"/>
    <s v="[Historical data]_Tenant_Gas_HiberniaG0008"/>
    <s v="Gas"/>
    <x v="7"/>
    <m/>
  </r>
  <r>
    <x v="5"/>
    <s v="[Historical data]_Tenant_Gas_HiberniaG0008"/>
    <s v="Gas"/>
    <x v="8"/>
    <m/>
  </r>
  <r>
    <x v="5"/>
    <s v="[Historical data]_Tenant_Gas_HiberniaG0008"/>
    <s v="Gas"/>
    <x v="9"/>
    <m/>
  </r>
  <r>
    <x v="5"/>
    <s v="[Historical data]_Tenant_Gas_HiberniaG0008"/>
    <s v="Gas"/>
    <x v="10"/>
    <m/>
  </r>
  <r>
    <x v="5"/>
    <s v="[Historical data]_Tenant_Gas_HiberniaG0008"/>
    <s v="Gas"/>
    <x v="11"/>
    <m/>
  </r>
  <r>
    <x v="5"/>
    <s v="Hibernia0009_organic_waste"/>
    <s v="Waste"/>
    <x v="1"/>
    <m/>
  </r>
  <r>
    <x v="5"/>
    <s v="Hibernia0009_organic_waste"/>
    <s v="Waste"/>
    <x v="2"/>
    <m/>
  </r>
  <r>
    <x v="5"/>
    <s v="Hibernia0009_organic_waste"/>
    <s v="Waste"/>
    <x v="3"/>
    <m/>
  </r>
  <r>
    <x v="5"/>
    <s v="Hibernia0009_organic_waste"/>
    <s v="Waste"/>
    <x v="4"/>
    <m/>
  </r>
  <r>
    <x v="5"/>
    <s v="Hibernia0009_organic_waste"/>
    <s v="Waste"/>
    <x v="5"/>
    <m/>
  </r>
  <r>
    <x v="5"/>
    <s v="Hibernia0009_organic_waste"/>
    <s v="Waste"/>
    <x v="6"/>
    <m/>
  </r>
  <r>
    <x v="5"/>
    <s v="Hibernia0009_organic_waste"/>
    <s v="Waste"/>
    <x v="7"/>
    <m/>
  </r>
  <r>
    <x v="5"/>
    <s v="Hibernia0009_organic_waste"/>
    <s v="Waste"/>
    <x v="8"/>
    <m/>
  </r>
  <r>
    <x v="5"/>
    <s v="Hibernia0009_organic_waste"/>
    <s v="Waste"/>
    <x v="9"/>
    <m/>
  </r>
  <r>
    <x v="5"/>
    <s v="Hibernia0009_organic_waste"/>
    <s v="Waste"/>
    <x v="10"/>
    <m/>
  </r>
  <r>
    <x v="5"/>
    <s v="Hibernia0009_organic_waste"/>
    <s v="Waste"/>
    <x v="11"/>
    <m/>
  </r>
  <r>
    <x v="5"/>
    <s v="Hibernia0009_dry_mixed_recycling"/>
    <s v="Waste"/>
    <x v="1"/>
    <m/>
  </r>
  <r>
    <x v="5"/>
    <s v="Hibernia0009_dry_mixed_recycling"/>
    <s v="Waste"/>
    <x v="2"/>
    <m/>
  </r>
  <r>
    <x v="5"/>
    <s v="Hibernia0009_dry_mixed_recycling"/>
    <s v="Waste"/>
    <x v="3"/>
    <m/>
  </r>
  <r>
    <x v="5"/>
    <s v="Hibernia0009_dry_mixed_recycling"/>
    <s v="Waste"/>
    <x v="4"/>
    <m/>
  </r>
  <r>
    <x v="5"/>
    <s v="Hibernia0009_dry_mixed_recycling"/>
    <s v="Waste"/>
    <x v="5"/>
    <m/>
  </r>
  <r>
    <x v="5"/>
    <s v="Hibernia0009_dry_mixed_recycling"/>
    <s v="Waste"/>
    <x v="6"/>
    <m/>
  </r>
  <r>
    <x v="5"/>
    <s v="Hibernia0009_dry_mixed_recycling"/>
    <s v="Waste"/>
    <x v="7"/>
    <m/>
  </r>
  <r>
    <x v="5"/>
    <s v="Hibernia0009_dry_mixed_recycling"/>
    <s v="Waste"/>
    <x v="8"/>
    <m/>
  </r>
  <r>
    <x v="5"/>
    <s v="Hibernia0009_dry_mixed_recycling"/>
    <s v="Waste"/>
    <x v="9"/>
    <m/>
  </r>
  <r>
    <x v="5"/>
    <s v="Hibernia0009_dry_mixed_recycling"/>
    <s v="Waste"/>
    <x v="10"/>
    <m/>
  </r>
  <r>
    <x v="5"/>
    <s v="Hibernia0009_dry_mixed_recycling"/>
    <s v="Waste"/>
    <x v="11"/>
    <m/>
  </r>
  <r>
    <x v="5"/>
    <s v="Hibernia0009_commercial_and_industrial_waste"/>
    <s v="Waste"/>
    <x v="1"/>
    <m/>
  </r>
  <r>
    <x v="5"/>
    <s v="Hibernia0009_commercial_and_industrial_waste"/>
    <s v="Waste"/>
    <x v="2"/>
    <m/>
  </r>
  <r>
    <x v="5"/>
    <s v="Hibernia0009_commercial_and_industrial_waste"/>
    <s v="Waste"/>
    <x v="3"/>
    <m/>
  </r>
  <r>
    <x v="5"/>
    <s v="Hibernia0009_commercial_and_industrial_waste"/>
    <s v="Waste"/>
    <x v="4"/>
    <m/>
  </r>
  <r>
    <x v="5"/>
    <s v="Hibernia0009_commercial_and_industrial_waste"/>
    <s v="Waste"/>
    <x v="5"/>
    <m/>
  </r>
  <r>
    <x v="5"/>
    <s v="Hibernia0009_commercial_and_industrial_waste"/>
    <s v="Waste"/>
    <x v="6"/>
    <m/>
  </r>
  <r>
    <x v="5"/>
    <s v="Hibernia0009_commercial_and_industrial_waste"/>
    <s v="Waste"/>
    <x v="7"/>
    <m/>
  </r>
  <r>
    <x v="5"/>
    <s v="Hibernia0009_commercial_and_industrial_waste"/>
    <s v="Waste"/>
    <x v="8"/>
    <m/>
  </r>
  <r>
    <x v="5"/>
    <s v="Hibernia0009_commercial_and_industrial_waste"/>
    <s v="Waste"/>
    <x v="9"/>
    <m/>
  </r>
  <r>
    <x v="5"/>
    <s v="Hibernia0009_commercial_and_industrial_waste"/>
    <s v="Waste"/>
    <x v="10"/>
    <m/>
  </r>
  <r>
    <x v="5"/>
    <s v="Hibernia0009_commercial_and_industrial_waste"/>
    <s v="Waste"/>
    <x v="11"/>
    <m/>
  </r>
  <r>
    <x v="6"/>
    <s v="[Historical data]_Tenant_Electricity_HiberniaE0015"/>
    <s v="Electricity"/>
    <x v="0"/>
    <m/>
  </r>
  <r>
    <x v="6"/>
    <s v="[Historical data]_Tenant_Electricity_HiberniaE0015"/>
    <s v="Electricity"/>
    <x v="1"/>
    <m/>
  </r>
  <r>
    <x v="6"/>
    <s v="[Historical data]_Tenant_Electricity_HiberniaE0015"/>
    <s v="Electricity"/>
    <x v="2"/>
    <m/>
  </r>
  <r>
    <x v="6"/>
    <s v="[Historical data]_Tenant_Electricity_HiberniaE0015"/>
    <s v="Electricity"/>
    <x v="3"/>
    <m/>
  </r>
  <r>
    <x v="6"/>
    <s v="[Historical data]_Tenant_Electricity_HiberniaE0015"/>
    <s v="Electricity"/>
    <x v="4"/>
    <m/>
  </r>
  <r>
    <x v="6"/>
    <s v="[Historical data]_Tenant_Electricity_HiberniaE0015"/>
    <s v="Electricity"/>
    <x v="5"/>
    <m/>
  </r>
  <r>
    <x v="6"/>
    <s v="[Historical data]_Tenant_Electricity_HiberniaE0015"/>
    <s v="Electricity"/>
    <x v="6"/>
    <m/>
  </r>
  <r>
    <x v="6"/>
    <s v="[Historical data]_Tenant_Electricity_HiberniaE0015"/>
    <s v="Electricity"/>
    <x v="7"/>
    <m/>
  </r>
  <r>
    <x v="6"/>
    <s v="[Historical data]_Tenant_Electricity_HiberniaE0015"/>
    <s v="Electricity"/>
    <x v="8"/>
    <m/>
  </r>
  <r>
    <x v="6"/>
    <s v="[Historical data]_Tenant_Electricity_HiberniaE0015"/>
    <s v="Electricity"/>
    <x v="9"/>
    <m/>
  </r>
  <r>
    <x v="6"/>
    <s v="[Historical data]_Tenant_Electricity_HiberniaE0015"/>
    <s v="Electricity"/>
    <x v="10"/>
    <m/>
  </r>
  <r>
    <x v="6"/>
    <s v="[Historical data]_Tenant_Electricity_HiberniaE0015"/>
    <s v="Electricity"/>
    <x v="11"/>
    <m/>
  </r>
  <r>
    <x v="6"/>
    <s v="[Historical data]_Tenant_Gas_HiberniaG0009"/>
    <s v="Gas"/>
    <x v="0"/>
    <m/>
  </r>
  <r>
    <x v="6"/>
    <s v="[Historical data]_Tenant_Gas_HiberniaG0009"/>
    <s v="Gas"/>
    <x v="1"/>
    <m/>
  </r>
  <r>
    <x v="6"/>
    <s v="[Historical data]_Tenant_Gas_HiberniaG0009"/>
    <s v="Gas"/>
    <x v="2"/>
    <m/>
  </r>
  <r>
    <x v="6"/>
    <s v="[Historical data]_Tenant_Gas_HiberniaG0009"/>
    <s v="Gas"/>
    <x v="3"/>
    <m/>
  </r>
  <r>
    <x v="6"/>
    <s v="[Historical data]_Tenant_Gas_HiberniaG0009"/>
    <s v="Gas"/>
    <x v="4"/>
    <m/>
  </r>
  <r>
    <x v="6"/>
    <s v="[Historical data]_Tenant_Gas_HiberniaG0009"/>
    <s v="Gas"/>
    <x v="5"/>
    <m/>
  </r>
  <r>
    <x v="6"/>
    <s v="[Historical data]_Tenant_Gas_HiberniaG0009"/>
    <s v="Gas"/>
    <x v="6"/>
    <m/>
  </r>
  <r>
    <x v="6"/>
    <s v="[Historical data]_Tenant_Gas_HiberniaG0009"/>
    <s v="Gas"/>
    <x v="7"/>
    <m/>
  </r>
  <r>
    <x v="6"/>
    <s v="[Historical data]_Tenant_Gas_HiberniaG0009"/>
    <s v="Gas"/>
    <x v="8"/>
    <m/>
  </r>
  <r>
    <x v="6"/>
    <s v="[Historical data]_Tenant_Gas_HiberniaG0009"/>
    <s v="Gas"/>
    <x v="9"/>
    <m/>
  </r>
  <r>
    <x v="6"/>
    <s v="[Historical data]_Tenant_Gas_HiberniaG0009"/>
    <s v="Gas"/>
    <x v="10"/>
    <m/>
  </r>
  <r>
    <x v="6"/>
    <s v="[Historical data]_Tenant_Gas_HiberniaG0009"/>
    <s v="Gas"/>
    <x v="11"/>
    <m/>
  </r>
  <r>
    <x v="6"/>
    <s v="Hibernia0010_organic_waste"/>
    <s v="Waste"/>
    <x v="0"/>
    <m/>
  </r>
  <r>
    <x v="6"/>
    <s v="Hibernia0010_organic_waste"/>
    <s v="Waste"/>
    <x v="1"/>
    <m/>
  </r>
  <r>
    <x v="6"/>
    <s v="Hibernia0010_organic_waste"/>
    <s v="Waste"/>
    <x v="2"/>
    <m/>
  </r>
  <r>
    <x v="6"/>
    <s v="Hibernia0010_organic_waste"/>
    <s v="Waste"/>
    <x v="3"/>
    <m/>
  </r>
  <r>
    <x v="6"/>
    <s v="Hibernia0010_organic_waste"/>
    <s v="Waste"/>
    <x v="4"/>
    <m/>
  </r>
  <r>
    <x v="6"/>
    <s v="Hibernia0010_organic_waste"/>
    <s v="Waste"/>
    <x v="5"/>
    <m/>
  </r>
  <r>
    <x v="6"/>
    <s v="Hibernia0010_organic_waste"/>
    <s v="Waste"/>
    <x v="6"/>
    <m/>
  </r>
  <r>
    <x v="6"/>
    <s v="Hibernia0010_organic_waste"/>
    <s v="Waste"/>
    <x v="7"/>
    <m/>
  </r>
  <r>
    <x v="6"/>
    <s v="Hibernia0010_organic_waste"/>
    <s v="Waste"/>
    <x v="8"/>
    <m/>
  </r>
  <r>
    <x v="6"/>
    <s v="Hibernia0010_organic_waste"/>
    <s v="Waste"/>
    <x v="9"/>
    <m/>
  </r>
  <r>
    <x v="6"/>
    <s v="Hibernia0010_organic_waste"/>
    <s v="Waste"/>
    <x v="10"/>
    <m/>
  </r>
  <r>
    <x v="6"/>
    <s v="Hibernia0010_organic_waste"/>
    <s v="Waste"/>
    <x v="11"/>
    <m/>
  </r>
  <r>
    <x v="6"/>
    <s v="Hibernia0010_dry_mixed_recycling"/>
    <s v="Waste"/>
    <x v="0"/>
    <m/>
  </r>
  <r>
    <x v="6"/>
    <s v="Hibernia0010_dry_mixed_recycling"/>
    <s v="Waste"/>
    <x v="1"/>
    <m/>
  </r>
  <r>
    <x v="6"/>
    <s v="Hibernia0010_dry_mixed_recycling"/>
    <s v="Waste"/>
    <x v="2"/>
    <m/>
  </r>
  <r>
    <x v="6"/>
    <s v="Hibernia0010_dry_mixed_recycling"/>
    <s v="Waste"/>
    <x v="3"/>
    <m/>
  </r>
  <r>
    <x v="6"/>
    <s v="Hibernia0010_dry_mixed_recycling"/>
    <s v="Waste"/>
    <x v="4"/>
    <m/>
  </r>
  <r>
    <x v="6"/>
    <s v="Hibernia0010_dry_mixed_recycling"/>
    <s v="Waste"/>
    <x v="5"/>
    <m/>
  </r>
  <r>
    <x v="6"/>
    <s v="Hibernia0010_dry_mixed_recycling"/>
    <s v="Waste"/>
    <x v="6"/>
    <m/>
  </r>
  <r>
    <x v="6"/>
    <s v="Hibernia0010_dry_mixed_recycling"/>
    <s v="Waste"/>
    <x v="7"/>
    <m/>
  </r>
  <r>
    <x v="6"/>
    <s v="Hibernia0010_dry_mixed_recycling"/>
    <s v="Waste"/>
    <x v="8"/>
    <m/>
  </r>
  <r>
    <x v="6"/>
    <s v="Hibernia0010_dry_mixed_recycling"/>
    <s v="Waste"/>
    <x v="9"/>
    <m/>
  </r>
  <r>
    <x v="6"/>
    <s v="Hibernia0010_dry_mixed_recycling"/>
    <s v="Waste"/>
    <x v="10"/>
    <m/>
  </r>
  <r>
    <x v="6"/>
    <s v="Hibernia0010_dry_mixed_recycling"/>
    <s v="Waste"/>
    <x v="11"/>
    <m/>
  </r>
  <r>
    <x v="6"/>
    <s v="Hibernia0010_commercial_and_industrial_waste"/>
    <s v="Waste"/>
    <x v="0"/>
    <m/>
  </r>
  <r>
    <x v="6"/>
    <s v="Hibernia0010_commercial_and_industrial_waste"/>
    <s v="Waste"/>
    <x v="1"/>
    <m/>
  </r>
  <r>
    <x v="6"/>
    <s v="Hibernia0010_commercial_and_industrial_waste"/>
    <s v="Waste"/>
    <x v="2"/>
    <m/>
  </r>
  <r>
    <x v="6"/>
    <s v="Hibernia0010_commercial_and_industrial_waste"/>
    <s v="Waste"/>
    <x v="3"/>
    <m/>
  </r>
  <r>
    <x v="6"/>
    <s v="Hibernia0010_commercial_and_industrial_waste"/>
    <s v="Waste"/>
    <x v="4"/>
    <m/>
  </r>
  <r>
    <x v="6"/>
    <s v="Hibernia0010_commercial_and_industrial_waste"/>
    <s v="Waste"/>
    <x v="5"/>
    <m/>
  </r>
  <r>
    <x v="6"/>
    <s v="Hibernia0010_commercial_and_industrial_waste"/>
    <s v="Waste"/>
    <x v="6"/>
    <m/>
  </r>
  <r>
    <x v="6"/>
    <s v="Hibernia0010_commercial_and_industrial_waste"/>
    <s v="Waste"/>
    <x v="7"/>
    <m/>
  </r>
  <r>
    <x v="6"/>
    <s v="Hibernia0010_commercial_and_industrial_waste"/>
    <s v="Waste"/>
    <x v="8"/>
    <m/>
  </r>
  <r>
    <x v="6"/>
    <s v="Hibernia0010_commercial_and_industrial_waste"/>
    <s v="Waste"/>
    <x v="9"/>
    <m/>
  </r>
  <r>
    <x v="6"/>
    <s v="Hibernia0010_commercial_and_industrial_waste"/>
    <s v="Waste"/>
    <x v="10"/>
    <m/>
  </r>
  <r>
    <x v="6"/>
    <s v="Hibernia0010_commercial_and_industrial_waste"/>
    <s v="Waste"/>
    <x v="11"/>
    <m/>
  </r>
  <r>
    <x v="7"/>
    <s v="[Historical data]_Landlord_Electricity_HiberniaE0016"/>
    <s v="Electricity"/>
    <x v="0"/>
    <m/>
  </r>
  <r>
    <x v="7"/>
    <s v="[Historical data]_Landlord_Electricity_HiberniaE0016"/>
    <s v="Electricity"/>
    <x v="1"/>
    <m/>
  </r>
  <r>
    <x v="7"/>
    <s v="[Historical data]_Landlord_Electricity_HiberniaE0016"/>
    <s v="Electricity"/>
    <x v="2"/>
    <m/>
  </r>
  <r>
    <x v="7"/>
    <s v="[Historical data]_Landlord_Electricity_HiberniaE0016"/>
    <s v="Electricity"/>
    <x v="3"/>
    <m/>
  </r>
  <r>
    <x v="7"/>
    <s v="[Historical data]_Landlord_Electricity_HiberniaE0016"/>
    <s v="Electricity"/>
    <x v="4"/>
    <m/>
  </r>
  <r>
    <x v="7"/>
    <s v="[Historical data]_Landlord_Electricity_HiberniaE0016"/>
    <s v="Electricity"/>
    <x v="5"/>
    <m/>
  </r>
  <r>
    <x v="7"/>
    <s v="[Historical data]_Landlord_Electricity_HiberniaE0016"/>
    <s v="Electricity"/>
    <x v="6"/>
    <m/>
  </r>
  <r>
    <x v="7"/>
    <s v="[Historical data]_Landlord_Electricity_HiberniaE0016"/>
    <s v="Electricity"/>
    <x v="7"/>
    <m/>
  </r>
  <r>
    <x v="7"/>
    <s v="[Historical data]_Landlord_Electricity_HiberniaE0016"/>
    <s v="Electricity"/>
    <x v="8"/>
    <m/>
  </r>
  <r>
    <x v="7"/>
    <s v="[Historical data]_Landlord_Electricity_HiberniaE0016"/>
    <s v="Electricity"/>
    <x v="9"/>
    <m/>
  </r>
  <r>
    <x v="7"/>
    <s v="[Historical data]_Landlord_Electricity_HiberniaE0016"/>
    <s v="Electricity"/>
    <x v="10"/>
    <m/>
  </r>
  <r>
    <x v="7"/>
    <s v="[Historical data]_Landlord_Electricity_HiberniaE0016"/>
    <s v="Electricity"/>
    <x v="11"/>
    <m/>
  </r>
  <r>
    <x v="7"/>
    <s v="[Historical data]_Landlord_Gas_HiberniaG0010"/>
    <s v="Gas"/>
    <x v="0"/>
    <m/>
  </r>
  <r>
    <x v="7"/>
    <s v="[Historical data]_Landlord_Gas_HiberniaG0010"/>
    <s v="Gas"/>
    <x v="1"/>
    <m/>
  </r>
  <r>
    <x v="7"/>
    <s v="[Historical data]_Landlord_Gas_HiberniaG0010"/>
    <s v="Gas"/>
    <x v="2"/>
    <m/>
  </r>
  <r>
    <x v="7"/>
    <s v="[Historical data]_Landlord_Gas_HiberniaG0010"/>
    <s v="Gas"/>
    <x v="3"/>
    <m/>
  </r>
  <r>
    <x v="7"/>
    <s v="[Historical data]_Landlord_Gas_HiberniaG0010"/>
    <s v="Gas"/>
    <x v="4"/>
    <m/>
  </r>
  <r>
    <x v="7"/>
    <s v="[Historical data]_Landlord_Gas_HiberniaG0010"/>
    <s v="Gas"/>
    <x v="5"/>
    <m/>
  </r>
  <r>
    <x v="7"/>
    <s v="[Historical data]_Landlord_Gas_HiberniaG0010"/>
    <s v="Gas"/>
    <x v="6"/>
    <m/>
  </r>
  <r>
    <x v="7"/>
    <s v="[Historical data]_Landlord_Gas_HiberniaG0010"/>
    <s v="Gas"/>
    <x v="7"/>
    <m/>
  </r>
  <r>
    <x v="7"/>
    <s v="[Historical data]_Landlord_Gas_HiberniaG0010"/>
    <s v="Gas"/>
    <x v="8"/>
    <m/>
  </r>
  <r>
    <x v="7"/>
    <s v="[Historical data]_Landlord_Gas_HiberniaG0010"/>
    <s v="Gas"/>
    <x v="9"/>
    <m/>
  </r>
  <r>
    <x v="7"/>
    <s v="[Historical data]_Landlord_Gas_HiberniaG0010"/>
    <s v="Gas"/>
    <x v="10"/>
    <m/>
  </r>
  <r>
    <x v="7"/>
    <s v="[Historical data]_Landlord_Gas_HiberniaG0010"/>
    <s v="Gas"/>
    <x v="11"/>
    <m/>
  </r>
  <r>
    <x v="7"/>
    <s v="[Historical data]_Landlord_Water_HiberniaW0010"/>
    <s v="Water"/>
    <x v="0"/>
    <n v="122"/>
  </r>
  <r>
    <x v="7"/>
    <s v="[Historical data]_Landlord_Water_HiberniaW0010"/>
    <s v="Water"/>
    <x v="1"/>
    <n v="129"/>
  </r>
  <r>
    <x v="7"/>
    <s v="[Historical data]_Landlord_Water_HiberniaW0010"/>
    <s v="Water"/>
    <x v="2"/>
    <n v="119"/>
  </r>
  <r>
    <x v="7"/>
    <s v="[Historical data]_Landlord_Water_HiberniaW0010"/>
    <s v="Water"/>
    <x v="3"/>
    <n v="22"/>
  </r>
  <r>
    <x v="7"/>
    <s v="[Historical data]_Landlord_Water_HiberniaW0010"/>
    <s v="Water"/>
    <x v="4"/>
    <n v="67"/>
  </r>
  <r>
    <x v="7"/>
    <s v="[Historical data]_Landlord_Water_HiberniaW0010"/>
    <s v="Water"/>
    <x v="5"/>
    <n v="105"/>
  </r>
  <r>
    <x v="7"/>
    <s v="[Historical data]_Landlord_Water_HiberniaW0010"/>
    <s v="Water"/>
    <x v="6"/>
    <n v="116"/>
  </r>
  <r>
    <x v="7"/>
    <s v="[Historical data]_Landlord_Water_HiberniaW0010"/>
    <s v="Water"/>
    <x v="7"/>
    <n v="116"/>
  </r>
  <r>
    <x v="7"/>
    <s v="[Historical data]_Landlord_Water_HiberniaW0010"/>
    <s v="Water"/>
    <x v="8"/>
    <n v="114"/>
  </r>
  <r>
    <x v="7"/>
    <s v="[Historical data]_Landlord_Water_HiberniaW0010"/>
    <s v="Water"/>
    <x v="9"/>
    <n v="144"/>
  </r>
  <r>
    <x v="7"/>
    <s v="[Historical data]_Landlord_Water_HiberniaW0010"/>
    <s v="Water"/>
    <x v="10"/>
    <n v="124"/>
  </r>
  <r>
    <x v="7"/>
    <s v="[Historical data]_Landlord_Water_HiberniaW0010"/>
    <s v="Water"/>
    <x v="11"/>
    <n v="113"/>
  </r>
  <r>
    <x v="7"/>
    <s v="Hardwicke ground 1st 2nd 3rd Occupier electricity"/>
    <s v="Electricity"/>
    <x v="0"/>
    <m/>
  </r>
  <r>
    <x v="7"/>
    <s v="Hardwicke ground 1st 2nd 3rd Occupier electricity"/>
    <s v="Electricity"/>
    <x v="1"/>
    <m/>
  </r>
  <r>
    <x v="7"/>
    <s v="Hardwicke ground 1st 2nd 3rd Occupier electricity"/>
    <s v="Electricity"/>
    <x v="2"/>
    <m/>
  </r>
  <r>
    <x v="7"/>
    <s v="Hardwicke ground 1st 2nd 3rd Occupier electricity"/>
    <s v="Electricity"/>
    <x v="3"/>
    <m/>
  </r>
  <r>
    <x v="7"/>
    <s v="Hardwicke ground 1st 2nd 3rd Occupier electricity"/>
    <s v="Electricity"/>
    <x v="4"/>
    <m/>
  </r>
  <r>
    <x v="7"/>
    <s v="Hardwicke ground 1st 2nd 3rd Occupier electricity"/>
    <s v="Electricity"/>
    <x v="5"/>
    <m/>
  </r>
  <r>
    <x v="7"/>
    <s v="Hardwicke ground 1st 2nd 3rd Occupier electricity"/>
    <s v="Electricity"/>
    <x v="6"/>
    <m/>
  </r>
  <r>
    <x v="7"/>
    <s v="Hardwicke ground 1st 2nd 3rd Occupier electricity"/>
    <s v="Electricity"/>
    <x v="7"/>
    <m/>
  </r>
  <r>
    <x v="7"/>
    <s v="Hardwicke ground 1st 2nd 3rd Occupier electricity"/>
    <s v="Electricity"/>
    <x v="8"/>
    <m/>
  </r>
  <r>
    <x v="7"/>
    <s v="Hardwicke ground 1st 2nd 3rd Occupier electricity"/>
    <s v="Electricity"/>
    <x v="9"/>
    <m/>
  </r>
  <r>
    <x v="7"/>
    <s v="Hardwicke ground 1st 2nd 3rd Occupier electricity"/>
    <s v="Electricity"/>
    <x v="10"/>
    <m/>
  </r>
  <r>
    <x v="7"/>
    <s v="Hardwicke ground 1st 2nd 3rd Occupier electricity"/>
    <s v="Electricity"/>
    <x v="11"/>
    <m/>
  </r>
  <r>
    <x v="7"/>
    <s v="Hardwicke 4th occupier electricity"/>
    <s v="Electricity"/>
    <x v="0"/>
    <m/>
  </r>
  <r>
    <x v="7"/>
    <s v="Hardwicke 4th occupier electricity"/>
    <s v="Electricity"/>
    <x v="1"/>
    <m/>
  </r>
  <r>
    <x v="7"/>
    <s v="Hardwicke 4th occupier electricity"/>
    <s v="Electricity"/>
    <x v="2"/>
    <m/>
  </r>
  <r>
    <x v="7"/>
    <s v="Hardwicke 4th occupier electricity"/>
    <s v="Electricity"/>
    <x v="3"/>
    <m/>
  </r>
  <r>
    <x v="7"/>
    <s v="Hardwicke 4th occupier electricity"/>
    <s v="Electricity"/>
    <x v="4"/>
    <m/>
  </r>
  <r>
    <x v="7"/>
    <s v="Hardwicke 4th occupier electricity"/>
    <s v="Electricity"/>
    <x v="5"/>
    <m/>
  </r>
  <r>
    <x v="7"/>
    <s v="Hardwicke 4th occupier electricity"/>
    <s v="Electricity"/>
    <x v="6"/>
    <m/>
  </r>
  <r>
    <x v="7"/>
    <s v="Hardwicke 4th occupier electricity"/>
    <s v="Electricity"/>
    <x v="7"/>
    <m/>
  </r>
  <r>
    <x v="7"/>
    <s v="Hardwicke 4th occupier electricity"/>
    <s v="Electricity"/>
    <x v="8"/>
    <m/>
  </r>
  <r>
    <x v="7"/>
    <s v="Hardwicke 4th occupier electricity"/>
    <s v="Electricity"/>
    <x v="9"/>
    <m/>
  </r>
  <r>
    <x v="7"/>
    <s v="Hardwicke 4th occupier electricity"/>
    <s v="Electricity"/>
    <x v="10"/>
    <m/>
  </r>
  <r>
    <x v="7"/>
    <s v="Hardwicke 4th occupier electricity"/>
    <s v="Electricity"/>
    <x v="11"/>
    <m/>
  </r>
  <r>
    <x v="7"/>
    <s v="Hardwicke 5th Occupier electricity"/>
    <s v="Electricity"/>
    <x v="0"/>
    <m/>
  </r>
  <r>
    <x v="7"/>
    <s v="Hardwicke 5th Occupier electricity"/>
    <s v="Electricity"/>
    <x v="1"/>
    <m/>
  </r>
  <r>
    <x v="7"/>
    <s v="Hardwicke 5th Occupier electricity"/>
    <s v="Electricity"/>
    <x v="2"/>
    <m/>
  </r>
  <r>
    <x v="7"/>
    <s v="Hardwicke 5th Occupier electricity"/>
    <s v="Electricity"/>
    <x v="3"/>
    <m/>
  </r>
  <r>
    <x v="7"/>
    <s v="Hardwicke 5th Occupier electricity"/>
    <s v="Electricity"/>
    <x v="4"/>
    <m/>
  </r>
  <r>
    <x v="7"/>
    <s v="Hardwicke 5th Occupier electricity"/>
    <s v="Electricity"/>
    <x v="5"/>
    <m/>
  </r>
  <r>
    <x v="7"/>
    <s v="Hardwicke 5th Occupier electricity"/>
    <s v="Electricity"/>
    <x v="6"/>
    <m/>
  </r>
  <r>
    <x v="7"/>
    <s v="Hardwicke 5th Occupier electricity"/>
    <s v="Electricity"/>
    <x v="7"/>
    <m/>
  </r>
  <r>
    <x v="7"/>
    <s v="Hardwicke 5th Occupier electricity"/>
    <s v="Electricity"/>
    <x v="8"/>
    <m/>
  </r>
  <r>
    <x v="7"/>
    <s v="Hardwicke 5th Occupier electricity"/>
    <s v="Electricity"/>
    <x v="9"/>
    <m/>
  </r>
  <r>
    <x v="7"/>
    <s v="Hardwicke 5th Occupier electricity"/>
    <s v="Electricity"/>
    <x v="10"/>
    <m/>
  </r>
  <r>
    <x v="7"/>
    <s v="Hardwicke 5th Occupier electricity"/>
    <s v="Electricity"/>
    <x v="11"/>
    <m/>
  </r>
  <r>
    <x v="7"/>
    <s v="Hibernia0011_organic_waste"/>
    <s v="Waste"/>
    <x v="0"/>
    <m/>
  </r>
  <r>
    <x v="7"/>
    <s v="Hibernia0011_organic_waste"/>
    <s v="Waste"/>
    <x v="1"/>
    <m/>
  </r>
  <r>
    <x v="7"/>
    <s v="Hibernia0011_organic_waste"/>
    <s v="Waste"/>
    <x v="2"/>
    <m/>
  </r>
  <r>
    <x v="7"/>
    <s v="Hibernia0011_organic_waste"/>
    <s v="Waste"/>
    <x v="3"/>
    <m/>
  </r>
  <r>
    <x v="7"/>
    <s v="Hibernia0011_organic_waste"/>
    <s v="Waste"/>
    <x v="4"/>
    <m/>
  </r>
  <r>
    <x v="7"/>
    <s v="Hibernia0011_organic_waste"/>
    <s v="Waste"/>
    <x v="5"/>
    <m/>
  </r>
  <r>
    <x v="7"/>
    <s v="Hibernia0011_organic_waste"/>
    <s v="Waste"/>
    <x v="6"/>
    <m/>
  </r>
  <r>
    <x v="7"/>
    <s v="Hibernia0011_organic_waste"/>
    <s v="Waste"/>
    <x v="7"/>
    <m/>
  </r>
  <r>
    <x v="7"/>
    <s v="Hibernia0011_organic_waste"/>
    <s v="Waste"/>
    <x v="8"/>
    <m/>
  </r>
  <r>
    <x v="7"/>
    <s v="Hibernia0011_organic_waste"/>
    <s v="Waste"/>
    <x v="9"/>
    <m/>
  </r>
  <r>
    <x v="7"/>
    <s v="Hibernia0011_organic_waste"/>
    <s v="Waste"/>
    <x v="10"/>
    <m/>
  </r>
  <r>
    <x v="7"/>
    <s v="Hibernia0011_organic_waste"/>
    <s v="Waste"/>
    <x v="11"/>
    <m/>
  </r>
  <r>
    <x v="7"/>
    <s v="Hibernia0011_dry_mixed_recycling"/>
    <s v="Waste"/>
    <x v="0"/>
    <m/>
  </r>
  <r>
    <x v="7"/>
    <s v="Hibernia0011_dry_mixed_recycling"/>
    <s v="Waste"/>
    <x v="1"/>
    <m/>
  </r>
  <r>
    <x v="7"/>
    <s v="Hibernia0011_dry_mixed_recycling"/>
    <s v="Waste"/>
    <x v="2"/>
    <m/>
  </r>
  <r>
    <x v="7"/>
    <s v="Hibernia0011_dry_mixed_recycling"/>
    <s v="Waste"/>
    <x v="3"/>
    <m/>
  </r>
  <r>
    <x v="7"/>
    <s v="Hibernia0011_dry_mixed_recycling"/>
    <s v="Waste"/>
    <x v="4"/>
    <m/>
  </r>
  <r>
    <x v="7"/>
    <s v="Hibernia0011_dry_mixed_recycling"/>
    <s v="Waste"/>
    <x v="5"/>
    <m/>
  </r>
  <r>
    <x v="7"/>
    <s v="Hibernia0011_dry_mixed_recycling"/>
    <s v="Waste"/>
    <x v="6"/>
    <m/>
  </r>
  <r>
    <x v="7"/>
    <s v="Hibernia0011_dry_mixed_recycling"/>
    <s v="Waste"/>
    <x v="7"/>
    <m/>
  </r>
  <r>
    <x v="7"/>
    <s v="Hibernia0011_dry_mixed_recycling"/>
    <s v="Waste"/>
    <x v="8"/>
    <m/>
  </r>
  <r>
    <x v="7"/>
    <s v="Hibernia0011_dry_mixed_recycling"/>
    <s v="Waste"/>
    <x v="9"/>
    <m/>
  </r>
  <r>
    <x v="7"/>
    <s v="Hibernia0011_dry_mixed_recycling"/>
    <s v="Waste"/>
    <x v="10"/>
    <m/>
  </r>
  <r>
    <x v="7"/>
    <s v="Hibernia0011_dry_mixed_recycling"/>
    <s v="Waste"/>
    <x v="11"/>
    <m/>
  </r>
  <r>
    <x v="7"/>
    <s v="Hibernia0011_commercial_and_industrial_waste"/>
    <s v="Waste"/>
    <x v="0"/>
    <m/>
  </r>
  <r>
    <x v="7"/>
    <s v="Hibernia0011_commercial_and_industrial_waste"/>
    <s v="Waste"/>
    <x v="1"/>
    <m/>
  </r>
  <r>
    <x v="7"/>
    <s v="Hibernia0011_commercial_and_industrial_waste"/>
    <s v="Waste"/>
    <x v="2"/>
    <m/>
  </r>
  <r>
    <x v="7"/>
    <s v="Hibernia0011_commercial_and_industrial_waste"/>
    <s v="Waste"/>
    <x v="3"/>
    <m/>
  </r>
  <r>
    <x v="7"/>
    <s v="Hibernia0011_commercial_and_industrial_waste"/>
    <s v="Waste"/>
    <x v="4"/>
    <m/>
  </r>
  <r>
    <x v="7"/>
    <s v="Hibernia0011_commercial_and_industrial_waste"/>
    <s v="Waste"/>
    <x v="5"/>
    <m/>
  </r>
  <r>
    <x v="7"/>
    <s v="Hibernia0011_commercial_and_industrial_waste"/>
    <s v="Waste"/>
    <x v="6"/>
    <m/>
  </r>
  <r>
    <x v="7"/>
    <s v="Hibernia0011_commercial_and_industrial_waste"/>
    <s v="Waste"/>
    <x v="7"/>
    <m/>
  </r>
  <r>
    <x v="7"/>
    <s v="Hibernia0011_commercial_and_industrial_waste"/>
    <s v="Waste"/>
    <x v="8"/>
    <m/>
  </r>
  <r>
    <x v="7"/>
    <s v="Hibernia0011_commercial_and_industrial_waste"/>
    <s v="Waste"/>
    <x v="9"/>
    <m/>
  </r>
  <r>
    <x v="7"/>
    <s v="Hibernia0011_commercial_and_industrial_waste"/>
    <s v="Waste"/>
    <x v="10"/>
    <m/>
  </r>
  <r>
    <x v="7"/>
    <s v="Hibernia0011_commercial_and_industrial_waste"/>
    <s v="Waste"/>
    <x v="11"/>
    <m/>
  </r>
  <r>
    <x v="8"/>
    <s v="[Historical data]_Landlord_Electricity_HiberniaE0018"/>
    <s v="Electricity"/>
    <x v="0"/>
    <m/>
  </r>
  <r>
    <x v="8"/>
    <s v="[Historical data]_Landlord_Electricity_HiberniaE0018"/>
    <s v="Electricity"/>
    <x v="1"/>
    <m/>
  </r>
  <r>
    <x v="8"/>
    <s v="[Historical data]_Landlord_Electricity_HiberniaE0018"/>
    <s v="Electricity"/>
    <x v="2"/>
    <m/>
  </r>
  <r>
    <x v="8"/>
    <s v="[Historical data]_Landlord_Electricity_HiberniaE0018"/>
    <s v="Electricity"/>
    <x v="3"/>
    <m/>
  </r>
  <r>
    <x v="8"/>
    <s v="[Historical data]_Landlord_Electricity_HiberniaE0018"/>
    <s v="Electricity"/>
    <x v="4"/>
    <m/>
  </r>
  <r>
    <x v="8"/>
    <s v="[Historical data]_Landlord_Electricity_HiberniaE0018"/>
    <s v="Electricity"/>
    <x v="5"/>
    <m/>
  </r>
  <r>
    <x v="8"/>
    <s v="[Historical data]_Landlord_Electricity_HiberniaE0018"/>
    <s v="Electricity"/>
    <x v="6"/>
    <m/>
  </r>
  <r>
    <x v="8"/>
    <s v="[Historical data]_Landlord_Electricity_HiberniaE0018"/>
    <s v="Electricity"/>
    <x v="7"/>
    <m/>
  </r>
  <r>
    <x v="8"/>
    <s v="[Historical data]_Landlord_Electricity_HiberniaE0018"/>
    <s v="Electricity"/>
    <x v="8"/>
    <m/>
  </r>
  <r>
    <x v="8"/>
    <s v="[Historical data]_Landlord_Electricity_HiberniaE0018"/>
    <s v="Electricity"/>
    <x v="9"/>
    <m/>
  </r>
  <r>
    <x v="8"/>
    <s v="[Historical data]_Landlord_Electricity_HiberniaE0018"/>
    <s v="Electricity"/>
    <x v="10"/>
    <m/>
  </r>
  <r>
    <x v="8"/>
    <s v="[Historical data]_Landlord_Electricity_HiberniaE0018"/>
    <s v="Electricity"/>
    <x v="11"/>
    <m/>
  </r>
  <r>
    <x v="8"/>
    <s v="[Historical data]_Landlord_Gas_HiberniaG0011"/>
    <s v="Gas"/>
    <x v="0"/>
    <m/>
  </r>
  <r>
    <x v="8"/>
    <s v="[Historical data]_Landlord_Gas_HiberniaG0011"/>
    <s v="Gas"/>
    <x v="1"/>
    <m/>
  </r>
  <r>
    <x v="8"/>
    <s v="[Historical data]_Landlord_Gas_HiberniaG0011"/>
    <s v="Gas"/>
    <x v="2"/>
    <m/>
  </r>
  <r>
    <x v="8"/>
    <s v="[Historical data]_Landlord_Gas_HiberniaG0011"/>
    <s v="Gas"/>
    <x v="3"/>
    <m/>
  </r>
  <r>
    <x v="8"/>
    <s v="[Historical data]_Landlord_Gas_HiberniaG0011"/>
    <s v="Gas"/>
    <x v="4"/>
    <m/>
  </r>
  <r>
    <x v="8"/>
    <s v="[Historical data]_Landlord_Gas_HiberniaG0011"/>
    <s v="Gas"/>
    <x v="5"/>
    <m/>
  </r>
  <r>
    <x v="8"/>
    <s v="[Historical data]_Landlord_Gas_HiberniaG0011"/>
    <s v="Gas"/>
    <x v="6"/>
    <m/>
  </r>
  <r>
    <x v="8"/>
    <s v="[Historical data]_Landlord_Gas_HiberniaG0011"/>
    <s v="Gas"/>
    <x v="7"/>
    <m/>
  </r>
  <r>
    <x v="8"/>
    <s v="[Historical data]_Landlord_Gas_HiberniaG0011"/>
    <s v="Gas"/>
    <x v="8"/>
    <m/>
  </r>
  <r>
    <x v="8"/>
    <s v="[Historical data]_Landlord_Gas_HiberniaG0011"/>
    <s v="Gas"/>
    <x v="9"/>
    <m/>
  </r>
  <r>
    <x v="8"/>
    <s v="[Historical data]_Landlord_Gas_HiberniaG0011"/>
    <s v="Gas"/>
    <x v="10"/>
    <m/>
  </r>
  <r>
    <x v="8"/>
    <s v="[Historical data]_Landlord_Gas_HiberniaG0011"/>
    <s v="Gas"/>
    <x v="11"/>
    <m/>
  </r>
  <r>
    <x v="8"/>
    <s v="[Historical data]_Landlord_Water_HiberniaW0011"/>
    <s v="Water"/>
    <x v="0"/>
    <n v="0.59000000357627802"/>
  </r>
  <r>
    <x v="8"/>
    <s v="[Historical data]_Landlord_Water_HiberniaW0011"/>
    <s v="Water"/>
    <x v="1"/>
    <n v="208.72999968007201"/>
  </r>
  <r>
    <x v="8"/>
    <s v="[Historical data]_Landlord_Water_HiberniaW0011"/>
    <s v="Water"/>
    <x v="2"/>
    <n v="137.979999966919"/>
  </r>
  <r>
    <x v="8"/>
    <s v="[Historical data]_Landlord_Water_HiberniaW0011"/>
    <s v="Water"/>
    <x v="3"/>
    <n v="55.520000020041998"/>
  </r>
  <r>
    <x v="8"/>
    <s v="[Historical data]_Landlord_Water_HiberniaW0011"/>
    <s v="Water"/>
    <x v="4"/>
    <n v="185.66000027023199"/>
  </r>
  <r>
    <x v="8"/>
    <s v="[Historical data]_Landlord_Water_HiberniaW0011"/>
    <s v="Water"/>
    <x v="5"/>
    <n v="136.92000049725101"/>
  </r>
  <r>
    <x v="8"/>
    <s v="[Historical data]_Landlord_Water_HiberniaW0011"/>
    <s v="Water"/>
    <x v="6"/>
    <n v="127.930000284686"/>
  </r>
  <r>
    <x v="8"/>
    <s v="[Historical data]_Landlord_Water_HiberniaW0011"/>
    <s v="Water"/>
    <x v="7"/>
    <n v="62.320000272244201"/>
  </r>
  <r>
    <x v="8"/>
    <s v="[Historical data]_Landlord_Water_HiberniaW0011"/>
    <s v="Water"/>
    <x v="8"/>
    <n v="67.770000047981696"/>
  </r>
  <r>
    <x v="8"/>
    <s v="[Historical data]_Landlord_Water_HiberniaW0011"/>
    <s v="Water"/>
    <x v="9"/>
    <n v="37.869999799877398"/>
  </r>
  <r>
    <x v="8"/>
    <s v="[Historical data]_Landlord_Water_HiberniaW0011"/>
    <s v="Water"/>
    <x v="10"/>
    <n v="38.969999961554997"/>
  </r>
  <r>
    <x v="8"/>
    <s v="[Historical data]_Landlord_Water_HiberniaW0011"/>
    <s v="Water"/>
    <x v="11"/>
    <n v="24.4899999685585"/>
  </r>
  <r>
    <x v="8"/>
    <s v="Hibernia0012_organic_waste"/>
    <s v="Waste"/>
    <x v="0"/>
    <m/>
  </r>
  <r>
    <x v="8"/>
    <s v="Hibernia0012_organic_waste"/>
    <s v="Waste"/>
    <x v="1"/>
    <m/>
  </r>
  <r>
    <x v="8"/>
    <s v="Hibernia0012_organic_waste"/>
    <s v="Waste"/>
    <x v="2"/>
    <m/>
  </r>
  <r>
    <x v="8"/>
    <s v="Hibernia0012_organic_waste"/>
    <s v="Waste"/>
    <x v="3"/>
    <m/>
  </r>
  <r>
    <x v="8"/>
    <s v="Hibernia0012_organic_waste"/>
    <s v="Waste"/>
    <x v="4"/>
    <m/>
  </r>
  <r>
    <x v="8"/>
    <s v="Hibernia0012_organic_waste"/>
    <s v="Waste"/>
    <x v="5"/>
    <m/>
  </r>
  <r>
    <x v="8"/>
    <s v="Hibernia0012_organic_waste"/>
    <s v="Waste"/>
    <x v="6"/>
    <m/>
  </r>
  <r>
    <x v="8"/>
    <s v="Hibernia0012_organic_waste"/>
    <s v="Waste"/>
    <x v="7"/>
    <m/>
  </r>
  <r>
    <x v="8"/>
    <s v="Hibernia0012_organic_waste"/>
    <s v="Waste"/>
    <x v="8"/>
    <m/>
  </r>
  <r>
    <x v="8"/>
    <s v="Hibernia0012_organic_waste"/>
    <s v="Waste"/>
    <x v="9"/>
    <m/>
  </r>
  <r>
    <x v="8"/>
    <s v="Hibernia0012_organic_waste"/>
    <s v="Waste"/>
    <x v="10"/>
    <m/>
  </r>
  <r>
    <x v="8"/>
    <s v="Hibernia0012_organic_waste"/>
    <s v="Waste"/>
    <x v="11"/>
    <m/>
  </r>
  <r>
    <x v="8"/>
    <s v="Hibernia0012_dry_mixed_recycling"/>
    <s v="Waste"/>
    <x v="0"/>
    <m/>
  </r>
  <r>
    <x v="8"/>
    <s v="Hibernia0012_dry_mixed_recycling"/>
    <s v="Waste"/>
    <x v="1"/>
    <m/>
  </r>
  <r>
    <x v="8"/>
    <s v="Hibernia0012_dry_mixed_recycling"/>
    <s v="Waste"/>
    <x v="2"/>
    <m/>
  </r>
  <r>
    <x v="8"/>
    <s v="Hibernia0012_dry_mixed_recycling"/>
    <s v="Waste"/>
    <x v="3"/>
    <m/>
  </r>
  <r>
    <x v="8"/>
    <s v="Hibernia0012_dry_mixed_recycling"/>
    <s v="Waste"/>
    <x v="4"/>
    <m/>
  </r>
  <r>
    <x v="8"/>
    <s v="Hibernia0012_dry_mixed_recycling"/>
    <s v="Waste"/>
    <x v="5"/>
    <m/>
  </r>
  <r>
    <x v="8"/>
    <s v="Hibernia0012_dry_mixed_recycling"/>
    <s v="Waste"/>
    <x v="6"/>
    <m/>
  </r>
  <r>
    <x v="8"/>
    <s v="Hibernia0012_dry_mixed_recycling"/>
    <s v="Waste"/>
    <x v="7"/>
    <m/>
  </r>
  <r>
    <x v="8"/>
    <s v="Hibernia0012_dry_mixed_recycling"/>
    <s v="Waste"/>
    <x v="8"/>
    <m/>
  </r>
  <r>
    <x v="8"/>
    <s v="Hibernia0012_dry_mixed_recycling"/>
    <s v="Waste"/>
    <x v="9"/>
    <m/>
  </r>
  <r>
    <x v="8"/>
    <s v="Hibernia0012_dry_mixed_recycling"/>
    <s v="Waste"/>
    <x v="10"/>
    <m/>
  </r>
  <r>
    <x v="8"/>
    <s v="Hibernia0012_dry_mixed_recycling"/>
    <s v="Waste"/>
    <x v="11"/>
    <m/>
  </r>
  <r>
    <x v="8"/>
    <s v="Hibernia0012_commercial_and_industrial_waste"/>
    <s v="Waste"/>
    <x v="0"/>
    <m/>
  </r>
  <r>
    <x v="8"/>
    <s v="Hibernia0012_commercial_and_industrial_waste"/>
    <s v="Waste"/>
    <x v="1"/>
    <m/>
  </r>
  <r>
    <x v="8"/>
    <s v="Hibernia0012_commercial_and_industrial_waste"/>
    <s v="Waste"/>
    <x v="2"/>
    <m/>
  </r>
  <r>
    <x v="8"/>
    <s v="Hibernia0012_commercial_and_industrial_waste"/>
    <s v="Waste"/>
    <x v="3"/>
    <m/>
  </r>
  <r>
    <x v="8"/>
    <s v="Hibernia0012_commercial_and_industrial_waste"/>
    <s v="Waste"/>
    <x v="4"/>
    <m/>
  </r>
  <r>
    <x v="8"/>
    <s v="Hibernia0012_commercial_and_industrial_waste"/>
    <s v="Waste"/>
    <x v="5"/>
    <m/>
  </r>
  <r>
    <x v="8"/>
    <s v="Hibernia0012_commercial_and_industrial_waste"/>
    <s v="Waste"/>
    <x v="6"/>
    <m/>
  </r>
  <r>
    <x v="8"/>
    <s v="Hibernia0012_commercial_and_industrial_waste"/>
    <s v="Waste"/>
    <x v="7"/>
    <m/>
  </r>
  <r>
    <x v="8"/>
    <s v="Hibernia0012_commercial_and_industrial_waste"/>
    <s v="Waste"/>
    <x v="8"/>
    <m/>
  </r>
  <r>
    <x v="8"/>
    <s v="Hibernia0012_commercial_and_industrial_waste"/>
    <s v="Waste"/>
    <x v="9"/>
    <m/>
  </r>
  <r>
    <x v="8"/>
    <s v="Hibernia0012_commercial_and_industrial_waste"/>
    <s v="Waste"/>
    <x v="10"/>
    <m/>
  </r>
  <r>
    <x v="8"/>
    <s v="Hibernia0012_commercial_and_industrial_waste"/>
    <s v="Waste"/>
    <x v="11"/>
    <m/>
  </r>
  <r>
    <x v="8"/>
    <s v="Montague 4th 5th Occupier electricity"/>
    <s v="Electricity"/>
    <x v="0"/>
    <m/>
  </r>
  <r>
    <x v="8"/>
    <s v="Montague 4th 5th Occupier electricity"/>
    <s v="Electricity"/>
    <x v="1"/>
    <m/>
  </r>
  <r>
    <x v="8"/>
    <s v="Montague 4th 5th Occupier electricity"/>
    <s v="Electricity"/>
    <x v="2"/>
    <m/>
  </r>
  <r>
    <x v="8"/>
    <s v="Montague 4th 5th Occupier electricity"/>
    <s v="Electricity"/>
    <x v="3"/>
    <m/>
  </r>
  <r>
    <x v="8"/>
    <s v="Montague 4th 5th Occupier electricity"/>
    <s v="Electricity"/>
    <x v="4"/>
    <m/>
  </r>
  <r>
    <x v="8"/>
    <s v="Montague 4th 5th Occupier electricity"/>
    <s v="Electricity"/>
    <x v="5"/>
    <m/>
  </r>
  <r>
    <x v="8"/>
    <s v="Montague 4th 5th Occupier electricity"/>
    <s v="Electricity"/>
    <x v="6"/>
    <m/>
  </r>
  <r>
    <x v="8"/>
    <s v="Montague 4th 5th Occupier electricity"/>
    <s v="Electricity"/>
    <x v="7"/>
    <m/>
  </r>
  <r>
    <x v="8"/>
    <s v="Montague 4th 5th Occupier electricity"/>
    <s v="Electricity"/>
    <x v="8"/>
    <m/>
  </r>
  <r>
    <x v="8"/>
    <s v="Montague 4th 5th Occupier electricity"/>
    <s v="Electricity"/>
    <x v="9"/>
    <m/>
  </r>
  <r>
    <x v="8"/>
    <s v="Montague 4th 5th Occupier electricity"/>
    <s v="Electricity"/>
    <x v="10"/>
    <m/>
  </r>
  <r>
    <x v="8"/>
    <s v="Montague 4th 5th Occupier electricity"/>
    <s v="Electricity"/>
    <x v="11"/>
    <m/>
  </r>
  <r>
    <x v="8"/>
    <s v="Montague 1st 2nd 3rd vacant electricity"/>
    <s v="Electricity"/>
    <x v="0"/>
    <m/>
  </r>
  <r>
    <x v="8"/>
    <s v="Montague 1st 2nd 3rd vacant electricity"/>
    <s v="Electricity"/>
    <x v="1"/>
    <m/>
  </r>
  <r>
    <x v="8"/>
    <s v="Montague 1st 2nd 3rd vacant electricity"/>
    <s v="Electricity"/>
    <x v="2"/>
    <m/>
  </r>
  <r>
    <x v="8"/>
    <s v="Montague 1st 2nd 3rd vacant electricity"/>
    <s v="Electricity"/>
    <x v="3"/>
    <m/>
  </r>
  <r>
    <x v="8"/>
    <s v="Montague 1st 2nd 3rd vacant electricity"/>
    <s v="Electricity"/>
    <x v="4"/>
    <m/>
  </r>
  <r>
    <x v="8"/>
    <s v="Montague 1st 2nd 3rd vacant electricity"/>
    <s v="Electricity"/>
    <x v="5"/>
    <m/>
  </r>
  <r>
    <x v="8"/>
    <s v="Montague 1st 2nd 3rd vacant electricity"/>
    <s v="Electricity"/>
    <x v="6"/>
    <m/>
  </r>
  <r>
    <x v="8"/>
    <s v="Montague 1st 2nd 3rd vacant electricity"/>
    <s v="Electricity"/>
    <x v="7"/>
    <m/>
  </r>
  <r>
    <x v="8"/>
    <s v="Montague 1st 2nd 3rd vacant electricity"/>
    <s v="Electricity"/>
    <x v="8"/>
    <m/>
  </r>
  <r>
    <x v="8"/>
    <s v="Montague 1st 2nd 3rd vacant electricity"/>
    <s v="Electricity"/>
    <x v="9"/>
    <m/>
  </r>
  <r>
    <x v="8"/>
    <s v="Montague 1st 2nd 3rd vacant electricity"/>
    <s v="Electricity"/>
    <x v="10"/>
    <m/>
  </r>
  <r>
    <x v="8"/>
    <s v="Montague 1st 2nd 3rd vacant electricity"/>
    <s v="Electricity"/>
    <x v="11"/>
    <m/>
  </r>
  <r>
    <x v="8"/>
    <s v="Hibernia ground vacant electricity"/>
    <s v="Electricity"/>
    <x v="0"/>
    <m/>
  </r>
  <r>
    <x v="8"/>
    <s v="Hibernia ground vacant electricity"/>
    <s v="Electricity"/>
    <x v="1"/>
    <m/>
  </r>
  <r>
    <x v="8"/>
    <s v="Hibernia ground vacant electricity"/>
    <s v="Electricity"/>
    <x v="2"/>
    <m/>
  </r>
  <r>
    <x v="8"/>
    <s v="Hibernia ground vacant electricity"/>
    <s v="Electricity"/>
    <x v="3"/>
    <m/>
  </r>
  <r>
    <x v="8"/>
    <s v="Hibernia ground vacant electricity"/>
    <s v="Electricity"/>
    <x v="4"/>
    <m/>
  </r>
  <r>
    <x v="8"/>
    <s v="Hibernia ground vacant electricity"/>
    <s v="Electricity"/>
    <x v="5"/>
    <m/>
  </r>
  <r>
    <x v="8"/>
    <s v="Hibernia ground vacant electricity"/>
    <s v="Electricity"/>
    <x v="6"/>
    <m/>
  </r>
  <r>
    <x v="8"/>
    <s v="Hibernia ground vacant electricity"/>
    <s v="Electricity"/>
    <x v="7"/>
    <m/>
  </r>
  <r>
    <x v="8"/>
    <s v="Hibernia ground vacant electricity"/>
    <s v="Electricity"/>
    <x v="8"/>
    <m/>
  </r>
  <r>
    <x v="8"/>
    <s v="Hibernia ground vacant electricity"/>
    <s v="Electricity"/>
    <x v="9"/>
    <m/>
  </r>
  <r>
    <x v="8"/>
    <s v="Hibernia ground vacant electricity"/>
    <s v="Electricity"/>
    <x v="10"/>
    <m/>
  </r>
  <r>
    <x v="8"/>
    <s v="Hibernia ground vacant electricity"/>
    <s v="Electricity"/>
    <x v="11"/>
    <m/>
  </r>
  <r>
    <x v="9"/>
    <s v="Tenant_Electricity_HiberniaE0020"/>
    <s v="Electricity"/>
    <x v="0"/>
    <m/>
  </r>
  <r>
    <x v="9"/>
    <s v="Tenant_Electricity_HiberniaE0020"/>
    <s v="Electricity"/>
    <x v="1"/>
    <m/>
  </r>
  <r>
    <x v="9"/>
    <s v="Tenant_Electricity_HiberniaE0020"/>
    <s v="Electricity"/>
    <x v="2"/>
    <m/>
  </r>
  <r>
    <x v="9"/>
    <s v="Tenant_Electricity_HiberniaE0020"/>
    <s v="Electricity"/>
    <x v="3"/>
    <m/>
  </r>
  <r>
    <x v="9"/>
    <s v="Tenant_Electricity_HiberniaE0020"/>
    <s v="Electricity"/>
    <x v="4"/>
    <m/>
  </r>
  <r>
    <x v="9"/>
    <s v="Tenant_Electricity_HiberniaE0020"/>
    <s v="Electricity"/>
    <x v="5"/>
    <m/>
  </r>
  <r>
    <x v="9"/>
    <s v="Tenant_Electricity_HiberniaE0020"/>
    <s v="Electricity"/>
    <x v="6"/>
    <m/>
  </r>
  <r>
    <x v="9"/>
    <s v="Tenant_Electricity_HiberniaE0020"/>
    <s v="Electricity"/>
    <x v="7"/>
    <m/>
  </r>
  <r>
    <x v="9"/>
    <s v="Tenant_Electricity_HiberniaE0020"/>
    <s v="Electricity"/>
    <x v="8"/>
    <m/>
  </r>
  <r>
    <x v="9"/>
    <s v="Tenant_Electricity_HiberniaE0020"/>
    <s v="Electricity"/>
    <x v="9"/>
    <m/>
  </r>
  <r>
    <x v="9"/>
    <s v="Tenant_Electricity_HiberniaE0020"/>
    <s v="Electricity"/>
    <x v="10"/>
    <m/>
  </r>
  <r>
    <x v="9"/>
    <s v="Tenant_Electricity_HiberniaE0020"/>
    <s v="Electricity"/>
    <x v="11"/>
    <m/>
  </r>
  <r>
    <x v="9"/>
    <s v="[Historical data]_Tenant_Gas_HiberniaG0012"/>
    <s v="Gas"/>
    <x v="0"/>
    <m/>
  </r>
  <r>
    <x v="9"/>
    <s v="[Historical data]_Tenant_Gas_HiberniaG0012"/>
    <s v="Gas"/>
    <x v="1"/>
    <m/>
  </r>
  <r>
    <x v="9"/>
    <s v="[Historical data]_Tenant_Gas_HiberniaG0012"/>
    <s v="Gas"/>
    <x v="2"/>
    <m/>
  </r>
  <r>
    <x v="9"/>
    <s v="[Historical data]_Tenant_Gas_HiberniaG0012"/>
    <s v="Gas"/>
    <x v="3"/>
    <m/>
  </r>
  <r>
    <x v="9"/>
    <s v="[Historical data]_Tenant_Gas_HiberniaG0012"/>
    <s v="Gas"/>
    <x v="4"/>
    <m/>
  </r>
  <r>
    <x v="9"/>
    <s v="[Historical data]_Tenant_Gas_HiberniaG0012"/>
    <s v="Gas"/>
    <x v="5"/>
    <m/>
  </r>
  <r>
    <x v="9"/>
    <s v="[Historical data]_Tenant_Gas_HiberniaG0012"/>
    <s v="Gas"/>
    <x v="6"/>
    <m/>
  </r>
  <r>
    <x v="9"/>
    <s v="[Historical data]_Tenant_Gas_HiberniaG0012"/>
    <s v="Gas"/>
    <x v="7"/>
    <m/>
  </r>
  <r>
    <x v="9"/>
    <s v="[Historical data]_Tenant_Gas_HiberniaG0012"/>
    <s v="Gas"/>
    <x v="8"/>
    <m/>
  </r>
  <r>
    <x v="9"/>
    <s v="[Historical data]_Tenant_Gas_HiberniaG0012"/>
    <s v="Gas"/>
    <x v="9"/>
    <m/>
  </r>
  <r>
    <x v="9"/>
    <s v="[Historical data]_Tenant_Gas_HiberniaG0012"/>
    <s v="Gas"/>
    <x v="10"/>
    <m/>
  </r>
  <r>
    <x v="9"/>
    <s v="[Historical data]_Tenant_Gas_HiberniaG0012"/>
    <s v="Gas"/>
    <x v="11"/>
    <m/>
  </r>
  <r>
    <x v="9"/>
    <s v="Hibernia0013_dry_mixed_recycling"/>
    <s v="Waste"/>
    <x v="0"/>
    <m/>
  </r>
  <r>
    <x v="9"/>
    <s v="Hibernia0013_dry_mixed_recycling"/>
    <s v="Waste"/>
    <x v="1"/>
    <m/>
  </r>
  <r>
    <x v="9"/>
    <s v="Hibernia0013_dry_mixed_recycling"/>
    <s v="Waste"/>
    <x v="2"/>
    <m/>
  </r>
  <r>
    <x v="9"/>
    <s v="Hibernia0013_dry_mixed_recycling"/>
    <s v="Waste"/>
    <x v="3"/>
    <m/>
  </r>
  <r>
    <x v="9"/>
    <s v="Hibernia0013_dry_mixed_recycling"/>
    <s v="Waste"/>
    <x v="4"/>
    <m/>
  </r>
  <r>
    <x v="9"/>
    <s v="Hibernia0013_dry_mixed_recycling"/>
    <s v="Waste"/>
    <x v="5"/>
    <m/>
  </r>
  <r>
    <x v="9"/>
    <s v="Hibernia0013_dry_mixed_recycling"/>
    <s v="Waste"/>
    <x v="6"/>
    <m/>
  </r>
  <r>
    <x v="9"/>
    <s v="Hibernia0013_dry_mixed_recycling"/>
    <s v="Waste"/>
    <x v="7"/>
    <m/>
  </r>
  <r>
    <x v="9"/>
    <s v="Hibernia0013_dry_mixed_recycling"/>
    <s v="Waste"/>
    <x v="8"/>
    <m/>
  </r>
  <r>
    <x v="9"/>
    <s v="Hibernia0013_dry_mixed_recycling"/>
    <s v="Waste"/>
    <x v="9"/>
    <m/>
  </r>
  <r>
    <x v="9"/>
    <s v="Hibernia0013_dry_mixed_recycling"/>
    <s v="Waste"/>
    <x v="10"/>
    <m/>
  </r>
  <r>
    <x v="9"/>
    <s v="Hibernia0013_dry_mixed_recycling"/>
    <s v="Waste"/>
    <x v="11"/>
    <m/>
  </r>
  <r>
    <x v="10"/>
    <s v="[Historical data]_Landlord_Electricity_HiberniaE0021"/>
    <s v="Electricity"/>
    <x v="0"/>
    <m/>
  </r>
  <r>
    <x v="10"/>
    <s v="[Historical data]_Landlord_Electricity_HiberniaE0021"/>
    <s v="Electricity"/>
    <x v="1"/>
    <m/>
  </r>
  <r>
    <x v="10"/>
    <s v="[Historical data]_Landlord_Electricity_HiberniaE0021"/>
    <s v="Electricity"/>
    <x v="2"/>
    <m/>
  </r>
  <r>
    <x v="10"/>
    <s v="[Historical data]_Landlord_Electricity_HiberniaE0021"/>
    <s v="Electricity"/>
    <x v="3"/>
    <m/>
  </r>
  <r>
    <x v="10"/>
    <s v="[Historical data]_Landlord_Electricity_HiberniaE0021"/>
    <s v="Electricity"/>
    <x v="4"/>
    <m/>
  </r>
  <r>
    <x v="10"/>
    <s v="[Historical data]_Landlord_Electricity_HiberniaE0021"/>
    <s v="Electricity"/>
    <x v="5"/>
    <m/>
  </r>
  <r>
    <x v="10"/>
    <s v="[Historical data]_Landlord_Electricity_HiberniaE0021"/>
    <s v="Electricity"/>
    <x v="6"/>
    <m/>
  </r>
  <r>
    <x v="10"/>
    <s v="[Historical data]_Landlord_Electricity_HiberniaE0021"/>
    <s v="Electricity"/>
    <x v="7"/>
    <m/>
  </r>
  <r>
    <x v="10"/>
    <s v="[Historical data]_Landlord_Electricity_HiberniaE0021"/>
    <s v="Electricity"/>
    <x v="8"/>
    <m/>
  </r>
  <r>
    <x v="10"/>
    <s v="[Historical data]_Landlord_Electricity_HiberniaE0021"/>
    <s v="Electricity"/>
    <x v="9"/>
    <m/>
  </r>
  <r>
    <x v="10"/>
    <s v="[Historical data]_Landlord_Electricity_HiberniaE0021"/>
    <s v="Electricity"/>
    <x v="10"/>
    <m/>
  </r>
  <r>
    <x v="10"/>
    <s v="[Historical data]_Landlord_Electricity_HiberniaE0021"/>
    <s v="Electricity"/>
    <x v="11"/>
    <m/>
  </r>
  <r>
    <x v="10"/>
    <s v="[Historical data]_Landlord_Water_HiberniaW0012"/>
    <s v="Water"/>
    <x v="0"/>
    <n v="557"/>
  </r>
  <r>
    <x v="10"/>
    <s v="[Historical data]_Landlord_Water_HiberniaW0012"/>
    <s v="Water"/>
    <x v="1"/>
    <n v="398"/>
  </r>
  <r>
    <x v="10"/>
    <s v="[Historical data]_Landlord_Water_HiberniaW0012"/>
    <s v="Water"/>
    <x v="2"/>
    <n v="523"/>
  </r>
  <r>
    <x v="10"/>
    <s v="[Historical data]_Landlord_Water_HiberniaW0012"/>
    <s v="Water"/>
    <x v="3"/>
    <n v="555"/>
  </r>
  <r>
    <x v="10"/>
    <s v="[Historical data]_Landlord_Water_HiberniaW0012"/>
    <s v="Water"/>
    <x v="4"/>
    <n v="506"/>
  </r>
  <r>
    <x v="10"/>
    <s v="[Historical data]_Landlord_Water_HiberniaW0012"/>
    <s v="Water"/>
    <x v="5"/>
    <n v="435"/>
  </r>
  <r>
    <x v="10"/>
    <s v="[Historical data]_Landlord_Water_HiberniaW0012"/>
    <s v="Water"/>
    <x v="6"/>
    <n v="460"/>
  </r>
  <r>
    <x v="10"/>
    <s v="[Historical data]_Landlord_Water_HiberniaW0012"/>
    <s v="Water"/>
    <x v="7"/>
    <n v="416"/>
  </r>
  <r>
    <x v="10"/>
    <s v="[Historical data]_Landlord_Water_HiberniaW0012"/>
    <s v="Water"/>
    <x v="8"/>
    <n v="487"/>
  </r>
  <r>
    <x v="10"/>
    <s v="[Historical data]_Landlord_Water_HiberniaW0012"/>
    <s v="Water"/>
    <x v="9"/>
    <n v="572"/>
  </r>
  <r>
    <x v="10"/>
    <s v="[Historical data]_Landlord_Water_HiberniaW0012"/>
    <s v="Water"/>
    <x v="10"/>
    <n v="474"/>
  </r>
  <r>
    <x v="10"/>
    <s v="[Historical data]_Landlord_Water_HiberniaW0012"/>
    <s v="Water"/>
    <x v="11"/>
    <n v="466"/>
  </r>
  <r>
    <x v="10"/>
    <s v="The Observatory ground west occupier electricity"/>
    <s v="Electricity"/>
    <x v="0"/>
    <m/>
  </r>
  <r>
    <x v="10"/>
    <s v="The Observatory ground west occupier electricity"/>
    <s v="Electricity"/>
    <x v="1"/>
    <m/>
  </r>
  <r>
    <x v="10"/>
    <s v="The Observatory ground west occupier electricity"/>
    <s v="Electricity"/>
    <x v="2"/>
    <m/>
  </r>
  <r>
    <x v="10"/>
    <s v="The Observatory ground west occupier electricity"/>
    <s v="Electricity"/>
    <x v="3"/>
    <m/>
  </r>
  <r>
    <x v="10"/>
    <s v="The Observatory ground west occupier electricity"/>
    <s v="Electricity"/>
    <x v="4"/>
    <m/>
  </r>
  <r>
    <x v="10"/>
    <s v="The Observatory ground west occupier electricity"/>
    <s v="Electricity"/>
    <x v="5"/>
    <m/>
  </r>
  <r>
    <x v="10"/>
    <s v="The Observatory ground west occupier electricity"/>
    <s v="Electricity"/>
    <x v="6"/>
    <m/>
  </r>
  <r>
    <x v="10"/>
    <s v="The Observatory ground west occupier electricity"/>
    <s v="Electricity"/>
    <x v="7"/>
    <m/>
  </r>
  <r>
    <x v="10"/>
    <s v="The Observatory ground west occupier electricity"/>
    <s v="Electricity"/>
    <x v="8"/>
    <m/>
  </r>
  <r>
    <x v="10"/>
    <s v="The Observatory ground west occupier electricity"/>
    <s v="Electricity"/>
    <x v="9"/>
    <m/>
  </r>
  <r>
    <x v="10"/>
    <s v="The Observatory ground west occupier electricity"/>
    <s v="Electricity"/>
    <x v="10"/>
    <m/>
  </r>
  <r>
    <x v="10"/>
    <s v="The Observatory ground west occupier electricity"/>
    <s v="Electricity"/>
    <x v="11"/>
    <m/>
  </r>
  <r>
    <x v="10"/>
    <s v="The Observatory ground rear, 1st, 2nd West Occupier electricity"/>
    <s v="Electricity"/>
    <x v="0"/>
    <m/>
  </r>
  <r>
    <x v="10"/>
    <s v="The Observatory ground rear, 1st, 2nd West Occupier electricity"/>
    <s v="Electricity"/>
    <x v="1"/>
    <m/>
  </r>
  <r>
    <x v="10"/>
    <s v="The Observatory ground rear, 1st, 2nd West Occupier electricity"/>
    <s v="Electricity"/>
    <x v="2"/>
    <m/>
  </r>
  <r>
    <x v="10"/>
    <s v="The Observatory ground rear, 1st, 2nd West Occupier electricity"/>
    <s v="Electricity"/>
    <x v="3"/>
    <m/>
  </r>
  <r>
    <x v="10"/>
    <s v="The Observatory ground rear, 1st, 2nd West Occupier electricity"/>
    <s v="Electricity"/>
    <x v="4"/>
    <m/>
  </r>
  <r>
    <x v="10"/>
    <s v="The Observatory ground rear, 1st, 2nd West Occupier electricity"/>
    <s v="Electricity"/>
    <x v="5"/>
    <m/>
  </r>
  <r>
    <x v="10"/>
    <s v="The Observatory ground rear, 1st, 2nd West Occupier electricity"/>
    <s v="Electricity"/>
    <x v="6"/>
    <m/>
  </r>
  <r>
    <x v="10"/>
    <s v="The Observatory ground rear, 1st, 2nd West Occupier electricity"/>
    <s v="Electricity"/>
    <x v="7"/>
    <m/>
  </r>
  <r>
    <x v="10"/>
    <s v="The Observatory ground rear, 1st, 2nd West Occupier electricity"/>
    <s v="Electricity"/>
    <x v="8"/>
    <m/>
  </r>
  <r>
    <x v="10"/>
    <s v="The Observatory ground rear, 1st, 2nd West Occupier electricity"/>
    <s v="Electricity"/>
    <x v="9"/>
    <m/>
  </r>
  <r>
    <x v="10"/>
    <s v="The Observatory ground rear, 1st, 2nd West Occupier electricity"/>
    <s v="Electricity"/>
    <x v="10"/>
    <m/>
  </r>
  <r>
    <x v="10"/>
    <s v="The Observatory ground rear, 1st, 2nd West Occupier electricity"/>
    <s v="Electricity"/>
    <x v="11"/>
    <m/>
  </r>
  <r>
    <x v="10"/>
    <s v="The Observatory 3rd Occupier electricity"/>
    <s v="Electricity"/>
    <x v="0"/>
    <m/>
  </r>
  <r>
    <x v="10"/>
    <s v="The Observatory 3rd Occupier electricity"/>
    <s v="Electricity"/>
    <x v="1"/>
    <m/>
  </r>
  <r>
    <x v="10"/>
    <s v="The Observatory 3rd Occupier electricity"/>
    <s v="Electricity"/>
    <x v="2"/>
    <m/>
  </r>
  <r>
    <x v="10"/>
    <s v="The Observatory 3rd Occupier electricity"/>
    <s v="Electricity"/>
    <x v="3"/>
    <m/>
  </r>
  <r>
    <x v="10"/>
    <s v="The Observatory 3rd Occupier electricity"/>
    <s v="Electricity"/>
    <x v="4"/>
    <m/>
  </r>
  <r>
    <x v="10"/>
    <s v="The Observatory 3rd Occupier electricity"/>
    <s v="Electricity"/>
    <x v="5"/>
    <m/>
  </r>
  <r>
    <x v="10"/>
    <s v="The Observatory 3rd Occupier electricity"/>
    <s v="Electricity"/>
    <x v="6"/>
    <m/>
  </r>
  <r>
    <x v="10"/>
    <s v="The Observatory 3rd Occupier electricity"/>
    <s v="Electricity"/>
    <x v="7"/>
    <m/>
  </r>
  <r>
    <x v="10"/>
    <s v="The Observatory 3rd Occupier electricity"/>
    <s v="Electricity"/>
    <x v="8"/>
    <m/>
  </r>
  <r>
    <x v="10"/>
    <s v="The Observatory 3rd Occupier electricity"/>
    <s v="Electricity"/>
    <x v="9"/>
    <m/>
  </r>
  <r>
    <x v="10"/>
    <s v="The Observatory 3rd Occupier electricity"/>
    <s v="Electricity"/>
    <x v="10"/>
    <m/>
  </r>
  <r>
    <x v="10"/>
    <s v="The Observatory 3rd Occupier electricity"/>
    <s v="Electricity"/>
    <x v="11"/>
    <m/>
  </r>
  <r>
    <x v="10"/>
    <s v="The Observatory 2nd East Occupier Electricity"/>
    <s v="Electricity"/>
    <x v="0"/>
    <m/>
  </r>
  <r>
    <x v="10"/>
    <s v="The Observatory 2nd East Occupier Electricity"/>
    <s v="Electricity"/>
    <x v="1"/>
    <m/>
  </r>
  <r>
    <x v="10"/>
    <s v="The Observatory 2nd East Occupier Electricity"/>
    <s v="Electricity"/>
    <x v="2"/>
    <m/>
  </r>
  <r>
    <x v="10"/>
    <s v="The Observatory 2nd East Occupier Electricity"/>
    <s v="Electricity"/>
    <x v="3"/>
    <m/>
  </r>
  <r>
    <x v="10"/>
    <s v="The Observatory 2nd East Occupier Electricity"/>
    <s v="Electricity"/>
    <x v="4"/>
    <m/>
  </r>
  <r>
    <x v="10"/>
    <s v="The Observatory 2nd East Occupier Electricity"/>
    <s v="Electricity"/>
    <x v="5"/>
    <m/>
  </r>
  <r>
    <x v="10"/>
    <s v="The Observatory 2nd East Occupier Electricity"/>
    <s v="Electricity"/>
    <x v="6"/>
    <m/>
  </r>
  <r>
    <x v="10"/>
    <s v="The Observatory 2nd East Occupier Electricity"/>
    <s v="Electricity"/>
    <x v="7"/>
    <m/>
  </r>
  <r>
    <x v="10"/>
    <s v="The Observatory 2nd East Occupier Electricity"/>
    <s v="Electricity"/>
    <x v="8"/>
    <m/>
  </r>
  <r>
    <x v="10"/>
    <s v="The Observatory 2nd East Occupier Electricity"/>
    <s v="Electricity"/>
    <x v="9"/>
    <m/>
  </r>
  <r>
    <x v="10"/>
    <s v="The Observatory 2nd East Occupier Electricity"/>
    <s v="Electricity"/>
    <x v="10"/>
    <m/>
  </r>
  <r>
    <x v="10"/>
    <s v="The Observatory 2nd East Occupier Electricity"/>
    <s v="Electricity"/>
    <x v="11"/>
    <m/>
  </r>
  <r>
    <x v="10"/>
    <s v="The Observatory 4th occupier electricity"/>
    <s v="Electricity"/>
    <x v="0"/>
    <m/>
  </r>
  <r>
    <x v="10"/>
    <s v="The Observatory 4th occupier electricity"/>
    <s v="Electricity"/>
    <x v="1"/>
    <m/>
  </r>
  <r>
    <x v="10"/>
    <s v="The Observatory 4th occupier electricity"/>
    <s v="Electricity"/>
    <x v="2"/>
    <m/>
  </r>
  <r>
    <x v="10"/>
    <s v="The Observatory 4th occupier electricity"/>
    <s v="Electricity"/>
    <x v="3"/>
    <m/>
  </r>
  <r>
    <x v="10"/>
    <s v="The Observatory 4th occupier electricity"/>
    <s v="Electricity"/>
    <x v="4"/>
    <m/>
  </r>
  <r>
    <x v="10"/>
    <s v="The Observatory 4th occupier electricity"/>
    <s v="Electricity"/>
    <x v="5"/>
    <m/>
  </r>
  <r>
    <x v="10"/>
    <s v="The Observatory 4th occupier electricity"/>
    <s v="Electricity"/>
    <x v="6"/>
    <m/>
  </r>
  <r>
    <x v="10"/>
    <s v="The Observatory 4th occupier electricity"/>
    <s v="Electricity"/>
    <x v="7"/>
    <m/>
  </r>
  <r>
    <x v="10"/>
    <s v="The Observatory 4th occupier electricity"/>
    <s v="Electricity"/>
    <x v="8"/>
    <m/>
  </r>
  <r>
    <x v="10"/>
    <s v="The Observatory 4th occupier electricity"/>
    <s v="Electricity"/>
    <x v="9"/>
    <m/>
  </r>
  <r>
    <x v="10"/>
    <s v="The Observatory 4th occupier electricity"/>
    <s v="Electricity"/>
    <x v="10"/>
    <m/>
  </r>
  <r>
    <x v="10"/>
    <s v="The Observatory 4th occupier electricity"/>
    <s v="Electricity"/>
    <x v="11"/>
    <m/>
  </r>
  <r>
    <x v="10"/>
    <s v="The Observatory 5th Occupier Electricity"/>
    <s v="Electricity"/>
    <x v="0"/>
    <m/>
  </r>
  <r>
    <x v="10"/>
    <s v="The Observatory 5th Occupier Electricity"/>
    <s v="Electricity"/>
    <x v="1"/>
    <m/>
  </r>
  <r>
    <x v="10"/>
    <s v="The Observatory 5th Occupier Electricity"/>
    <s v="Electricity"/>
    <x v="2"/>
    <m/>
  </r>
  <r>
    <x v="10"/>
    <s v="The Observatory 5th Occupier Electricity"/>
    <s v="Electricity"/>
    <x v="3"/>
    <m/>
  </r>
  <r>
    <x v="10"/>
    <s v="The Observatory 5th Occupier Electricity"/>
    <s v="Electricity"/>
    <x v="4"/>
    <m/>
  </r>
  <r>
    <x v="10"/>
    <s v="The Observatory 5th Occupier Electricity"/>
    <s v="Electricity"/>
    <x v="5"/>
    <m/>
  </r>
  <r>
    <x v="10"/>
    <s v="The Observatory 5th Occupier Electricity"/>
    <s v="Electricity"/>
    <x v="6"/>
    <m/>
  </r>
  <r>
    <x v="10"/>
    <s v="The Observatory 5th Occupier Electricity"/>
    <s v="Electricity"/>
    <x v="7"/>
    <m/>
  </r>
  <r>
    <x v="10"/>
    <s v="The Observatory 5th Occupier Electricity"/>
    <s v="Electricity"/>
    <x v="8"/>
    <m/>
  </r>
  <r>
    <x v="10"/>
    <s v="The Observatory 5th Occupier Electricity"/>
    <s v="Electricity"/>
    <x v="9"/>
    <m/>
  </r>
  <r>
    <x v="10"/>
    <s v="The Observatory 5th Occupier Electricity"/>
    <s v="Electricity"/>
    <x v="10"/>
    <m/>
  </r>
  <r>
    <x v="10"/>
    <s v="The Observatory 5th Occupier Electricity"/>
    <s v="Electricity"/>
    <x v="11"/>
    <m/>
  </r>
  <r>
    <x v="10"/>
    <s v="Hibernia0014_organic_waste"/>
    <s v="Waste"/>
    <x v="0"/>
    <m/>
  </r>
  <r>
    <x v="10"/>
    <s v="Hibernia0014_organic_waste"/>
    <s v="Waste"/>
    <x v="1"/>
    <m/>
  </r>
  <r>
    <x v="10"/>
    <s v="Hibernia0014_organic_waste"/>
    <s v="Waste"/>
    <x v="2"/>
    <m/>
  </r>
  <r>
    <x v="10"/>
    <s v="Hibernia0014_organic_waste"/>
    <s v="Waste"/>
    <x v="3"/>
    <m/>
  </r>
  <r>
    <x v="10"/>
    <s v="Hibernia0014_organic_waste"/>
    <s v="Waste"/>
    <x v="4"/>
    <m/>
  </r>
  <r>
    <x v="10"/>
    <s v="Hibernia0014_organic_waste"/>
    <s v="Waste"/>
    <x v="5"/>
    <m/>
  </r>
  <r>
    <x v="10"/>
    <s v="Hibernia0014_organic_waste"/>
    <s v="Waste"/>
    <x v="6"/>
    <m/>
  </r>
  <r>
    <x v="10"/>
    <s v="Hibernia0014_organic_waste"/>
    <s v="Waste"/>
    <x v="7"/>
    <m/>
  </r>
  <r>
    <x v="10"/>
    <s v="Hibernia0014_organic_waste"/>
    <s v="Waste"/>
    <x v="8"/>
    <m/>
  </r>
  <r>
    <x v="10"/>
    <s v="Hibernia0014_organic_waste"/>
    <s v="Waste"/>
    <x v="9"/>
    <m/>
  </r>
  <r>
    <x v="10"/>
    <s v="Hibernia0014_organic_waste"/>
    <s v="Waste"/>
    <x v="10"/>
    <m/>
  </r>
  <r>
    <x v="10"/>
    <s v="Hibernia0014_organic_waste"/>
    <s v="Waste"/>
    <x v="11"/>
    <m/>
  </r>
  <r>
    <x v="10"/>
    <s v="Hibernia0014_dry_mixed_recycling"/>
    <s v="Waste"/>
    <x v="0"/>
    <m/>
  </r>
  <r>
    <x v="10"/>
    <s v="Hibernia0014_dry_mixed_recycling"/>
    <s v="Waste"/>
    <x v="1"/>
    <m/>
  </r>
  <r>
    <x v="10"/>
    <s v="Hibernia0014_dry_mixed_recycling"/>
    <s v="Waste"/>
    <x v="2"/>
    <m/>
  </r>
  <r>
    <x v="10"/>
    <s v="Hibernia0014_dry_mixed_recycling"/>
    <s v="Waste"/>
    <x v="3"/>
    <m/>
  </r>
  <r>
    <x v="10"/>
    <s v="Hibernia0014_dry_mixed_recycling"/>
    <s v="Waste"/>
    <x v="4"/>
    <m/>
  </r>
  <r>
    <x v="10"/>
    <s v="Hibernia0014_dry_mixed_recycling"/>
    <s v="Waste"/>
    <x v="5"/>
    <m/>
  </r>
  <r>
    <x v="10"/>
    <s v="Hibernia0014_dry_mixed_recycling"/>
    <s v="Waste"/>
    <x v="6"/>
    <m/>
  </r>
  <r>
    <x v="10"/>
    <s v="Hibernia0014_dry_mixed_recycling"/>
    <s v="Waste"/>
    <x v="7"/>
    <m/>
  </r>
  <r>
    <x v="10"/>
    <s v="Hibernia0014_dry_mixed_recycling"/>
    <s v="Waste"/>
    <x v="8"/>
    <m/>
  </r>
  <r>
    <x v="10"/>
    <s v="Hibernia0014_dry_mixed_recycling"/>
    <s v="Waste"/>
    <x v="9"/>
    <m/>
  </r>
  <r>
    <x v="10"/>
    <s v="Hibernia0014_dry_mixed_recycling"/>
    <s v="Waste"/>
    <x v="10"/>
    <m/>
  </r>
  <r>
    <x v="10"/>
    <s v="Hibernia0014_dry_mixed_recycling"/>
    <s v="Waste"/>
    <x v="11"/>
    <m/>
  </r>
  <r>
    <x v="10"/>
    <s v="Hibernia0014_commercial_and_industrial_waste"/>
    <s v="Waste"/>
    <x v="0"/>
    <m/>
  </r>
  <r>
    <x v="10"/>
    <s v="Hibernia0014_commercial_and_industrial_waste"/>
    <s v="Waste"/>
    <x v="1"/>
    <m/>
  </r>
  <r>
    <x v="10"/>
    <s v="Hibernia0014_commercial_and_industrial_waste"/>
    <s v="Waste"/>
    <x v="2"/>
    <m/>
  </r>
  <r>
    <x v="10"/>
    <s v="Hibernia0014_commercial_and_industrial_waste"/>
    <s v="Waste"/>
    <x v="3"/>
    <m/>
  </r>
  <r>
    <x v="10"/>
    <s v="Hibernia0014_commercial_and_industrial_waste"/>
    <s v="Waste"/>
    <x v="4"/>
    <m/>
  </r>
  <r>
    <x v="10"/>
    <s v="Hibernia0014_commercial_and_industrial_waste"/>
    <s v="Waste"/>
    <x v="5"/>
    <m/>
  </r>
  <r>
    <x v="10"/>
    <s v="Hibernia0014_commercial_and_industrial_waste"/>
    <s v="Waste"/>
    <x v="6"/>
    <m/>
  </r>
  <r>
    <x v="10"/>
    <s v="Hibernia0014_commercial_and_industrial_waste"/>
    <s v="Waste"/>
    <x v="7"/>
    <m/>
  </r>
  <r>
    <x v="10"/>
    <s v="Hibernia0014_commercial_and_industrial_waste"/>
    <s v="Waste"/>
    <x v="8"/>
    <m/>
  </r>
  <r>
    <x v="10"/>
    <s v="Hibernia0014_commercial_and_industrial_waste"/>
    <s v="Waste"/>
    <x v="9"/>
    <m/>
  </r>
  <r>
    <x v="10"/>
    <s v="Hibernia0014_commercial_and_industrial_waste"/>
    <s v="Waste"/>
    <x v="10"/>
    <m/>
  </r>
  <r>
    <x v="10"/>
    <s v="Hibernia0014_commercial_and_industrial_waste"/>
    <s v="Waste"/>
    <x v="11"/>
    <m/>
  </r>
  <r>
    <x v="10"/>
    <s v="[Historical data]_Landlord_Gas_HiberniaG0013_Substitute"/>
    <s v="Gas"/>
    <x v="0"/>
    <m/>
  </r>
  <r>
    <x v="10"/>
    <s v="[Historical data]_Landlord_Gas_HiberniaG0013_Substitute"/>
    <s v="Gas"/>
    <x v="1"/>
    <m/>
  </r>
  <r>
    <x v="10"/>
    <s v="[Historical data]_Landlord_Gas_HiberniaG0013_Substitute"/>
    <s v="Gas"/>
    <x v="2"/>
    <m/>
  </r>
  <r>
    <x v="10"/>
    <s v="[Historical data]_Landlord_Gas_HiberniaG0013_Substitute"/>
    <s v="Gas"/>
    <x v="3"/>
    <m/>
  </r>
  <r>
    <x v="10"/>
    <s v="[Historical data]_Landlord_Gas_HiberniaG0013_Substitute"/>
    <s v="Gas"/>
    <x v="4"/>
    <m/>
  </r>
  <r>
    <x v="10"/>
    <s v="[Historical data]_Landlord_Gas_HiberniaG0013_Substitute"/>
    <s v="Gas"/>
    <x v="5"/>
    <m/>
  </r>
  <r>
    <x v="10"/>
    <s v="[Historical data]_Landlord_Gas_HiberniaG0013_Substitute"/>
    <s v="Gas"/>
    <x v="6"/>
    <m/>
  </r>
  <r>
    <x v="10"/>
    <s v="[Historical data]_Landlord_Gas_HiberniaG0013_Substitute"/>
    <s v="Gas"/>
    <x v="7"/>
    <m/>
  </r>
  <r>
    <x v="10"/>
    <s v="[Historical data]_Landlord_Gas_HiberniaG0013_Substitute"/>
    <s v="Gas"/>
    <x v="8"/>
    <m/>
  </r>
  <r>
    <x v="10"/>
    <s v="[Historical data]_Landlord_Gas_HiberniaG0013_Substitute"/>
    <s v="Gas"/>
    <x v="9"/>
    <m/>
  </r>
  <r>
    <x v="10"/>
    <s v="[Historical data]_Landlord_Gas_HiberniaG0013_Substitute"/>
    <s v="Gas"/>
    <x v="10"/>
    <m/>
  </r>
  <r>
    <x v="10"/>
    <s v="[Historical data]_Landlord_Gas_HiberniaG0013_Substitute"/>
    <s v="Gas"/>
    <x v="11"/>
    <m/>
  </r>
  <r>
    <x v="11"/>
    <s v="[Historical data]_Tenant_Electricity_HiberniaE0023"/>
    <s v="Electricity"/>
    <x v="0"/>
    <m/>
  </r>
  <r>
    <x v="11"/>
    <s v="[Historical data]_Tenant_Electricity_HiberniaE0023"/>
    <s v="Electricity"/>
    <x v="1"/>
    <m/>
  </r>
  <r>
    <x v="11"/>
    <s v="[Historical data]_Tenant_Electricity_HiberniaE0023"/>
    <s v="Electricity"/>
    <x v="2"/>
    <m/>
  </r>
  <r>
    <x v="11"/>
    <s v="[Historical data]_Tenant_Electricity_HiberniaE0023"/>
    <s v="Electricity"/>
    <x v="3"/>
    <m/>
  </r>
  <r>
    <x v="11"/>
    <s v="[Historical data]_Tenant_Electricity_HiberniaE0023"/>
    <s v="Electricity"/>
    <x v="4"/>
    <m/>
  </r>
  <r>
    <x v="11"/>
    <s v="[Historical data]_Tenant_Electricity_HiberniaE0023"/>
    <s v="Electricity"/>
    <x v="5"/>
    <m/>
  </r>
  <r>
    <x v="11"/>
    <s v="[Historical data]_Tenant_Electricity_HiberniaE0023"/>
    <s v="Electricity"/>
    <x v="6"/>
    <m/>
  </r>
  <r>
    <x v="11"/>
    <s v="[Historical data]_Tenant_Electricity_HiberniaE0023"/>
    <s v="Electricity"/>
    <x v="7"/>
    <m/>
  </r>
  <r>
    <x v="11"/>
    <s v="[Historical data]_Tenant_Electricity_HiberniaE0023"/>
    <s v="Electricity"/>
    <x v="8"/>
    <m/>
  </r>
  <r>
    <x v="11"/>
    <s v="[Historical data]_Tenant_Electricity_HiberniaE0023"/>
    <s v="Electricity"/>
    <x v="9"/>
    <m/>
  </r>
  <r>
    <x v="11"/>
    <s v="[Historical data]_Tenant_Electricity_HiberniaE0023"/>
    <s v="Electricity"/>
    <x v="10"/>
    <m/>
  </r>
  <r>
    <x v="11"/>
    <s v="[Historical data]_Tenant_Electricity_HiberniaE0023"/>
    <s v="Electricity"/>
    <x v="11"/>
    <m/>
  </r>
  <r>
    <x v="11"/>
    <s v="Hibernia0016_organic_waste"/>
    <s v="Waste"/>
    <x v="0"/>
    <m/>
  </r>
  <r>
    <x v="11"/>
    <s v="Hibernia0016_organic_waste"/>
    <s v="Waste"/>
    <x v="1"/>
    <m/>
  </r>
  <r>
    <x v="11"/>
    <s v="Hibernia0016_organic_waste"/>
    <s v="Waste"/>
    <x v="2"/>
    <m/>
  </r>
  <r>
    <x v="11"/>
    <s v="Hibernia0016_organic_waste"/>
    <s v="Waste"/>
    <x v="3"/>
    <m/>
  </r>
  <r>
    <x v="11"/>
    <s v="Hibernia0016_organic_waste"/>
    <s v="Waste"/>
    <x v="4"/>
    <m/>
  </r>
  <r>
    <x v="11"/>
    <s v="Hibernia0016_organic_waste"/>
    <s v="Waste"/>
    <x v="5"/>
    <m/>
  </r>
  <r>
    <x v="11"/>
    <s v="Hibernia0016_organic_waste"/>
    <s v="Waste"/>
    <x v="6"/>
    <m/>
  </r>
  <r>
    <x v="11"/>
    <s v="Hibernia0016_organic_waste"/>
    <s v="Waste"/>
    <x v="7"/>
    <m/>
  </r>
  <r>
    <x v="11"/>
    <s v="Hibernia0016_organic_waste"/>
    <s v="Waste"/>
    <x v="8"/>
    <m/>
  </r>
  <r>
    <x v="11"/>
    <s v="Hibernia0016_organic_waste"/>
    <s v="Waste"/>
    <x v="9"/>
    <m/>
  </r>
  <r>
    <x v="11"/>
    <s v="Hibernia0016_dry_mixed_recycling"/>
    <s v="Waste"/>
    <x v="0"/>
    <m/>
  </r>
  <r>
    <x v="11"/>
    <s v="Hibernia0016_dry_mixed_recycling"/>
    <s v="Waste"/>
    <x v="1"/>
    <m/>
  </r>
  <r>
    <x v="11"/>
    <s v="Hibernia0016_dry_mixed_recycling"/>
    <s v="Waste"/>
    <x v="2"/>
    <m/>
  </r>
  <r>
    <x v="11"/>
    <s v="Hibernia0016_dry_mixed_recycling"/>
    <s v="Waste"/>
    <x v="3"/>
    <m/>
  </r>
  <r>
    <x v="11"/>
    <s v="Hibernia0016_dry_mixed_recycling"/>
    <s v="Waste"/>
    <x v="4"/>
    <m/>
  </r>
  <r>
    <x v="11"/>
    <s v="Hibernia0016_dry_mixed_recycling"/>
    <s v="Waste"/>
    <x v="5"/>
    <m/>
  </r>
  <r>
    <x v="11"/>
    <s v="Hibernia0016_dry_mixed_recycling"/>
    <s v="Waste"/>
    <x v="6"/>
    <m/>
  </r>
  <r>
    <x v="11"/>
    <s v="Hibernia0016_dry_mixed_recycling"/>
    <s v="Waste"/>
    <x v="7"/>
    <m/>
  </r>
  <r>
    <x v="11"/>
    <s v="Hibernia0016_dry_mixed_recycling"/>
    <s v="Waste"/>
    <x v="8"/>
    <m/>
  </r>
  <r>
    <x v="11"/>
    <s v="Hibernia0016_dry_mixed_recycling"/>
    <s v="Waste"/>
    <x v="9"/>
    <m/>
  </r>
  <r>
    <x v="11"/>
    <s v="Hibernia0016_commercial_and_industrial_waste"/>
    <s v="Waste"/>
    <x v="0"/>
    <m/>
  </r>
  <r>
    <x v="11"/>
    <s v="Hibernia0016_commercial_and_industrial_waste"/>
    <s v="Waste"/>
    <x v="1"/>
    <m/>
  </r>
  <r>
    <x v="11"/>
    <s v="Hibernia0016_commercial_and_industrial_waste"/>
    <s v="Waste"/>
    <x v="2"/>
    <m/>
  </r>
  <r>
    <x v="11"/>
    <s v="Hibernia0016_commercial_and_industrial_waste"/>
    <s v="Waste"/>
    <x v="3"/>
    <m/>
  </r>
  <r>
    <x v="11"/>
    <s v="Hibernia0016_commercial_and_industrial_waste"/>
    <s v="Waste"/>
    <x v="4"/>
    <m/>
  </r>
  <r>
    <x v="11"/>
    <s v="Hibernia0016_commercial_and_industrial_waste"/>
    <s v="Waste"/>
    <x v="5"/>
    <m/>
  </r>
  <r>
    <x v="11"/>
    <s v="Hibernia0016_commercial_and_industrial_waste"/>
    <s v="Waste"/>
    <x v="6"/>
    <m/>
  </r>
  <r>
    <x v="11"/>
    <s v="Hibernia0016_commercial_and_industrial_waste"/>
    <s v="Waste"/>
    <x v="7"/>
    <m/>
  </r>
  <r>
    <x v="11"/>
    <s v="Hibernia0016_commercial_and_industrial_waste"/>
    <s v="Waste"/>
    <x v="8"/>
    <m/>
  </r>
  <r>
    <x v="11"/>
    <s v="Hibernia0016_commercial_and_industrial_waste"/>
    <s v="Waste"/>
    <x v="9"/>
    <m/>
  </r>
  <r>
    <x v="12"/>
    <s v="[Historical data]_Landlord_Electricity_HiberniaE0024"/>
    <s v="Electricity"/>
    <x v="0"/>
    <m/>
  </r>
  <r>
    <x v="12"/>
    <s v="[Historical data]_Landlord_Electricity_HiberniaE0024"/>
    <s v="Electricity"/>
    <x v="1"/>
    <m/>
  </r>
  <r>
    <x v="12"/>
    <s v="[Historical data]_Landlord_Electricity_HiberniaE0024"/>
    <s v="Electricity"/>
    <x v="2"/>
    <m/>
  </r>
  <r>
    <x v="12"/>
    <s v="[Historical data]_Landlord_Electricity_HiberniaE0024"/>
    <s v="Electricity"/>
    <x v="3"/>
    <m/>
  </r>
  <r>
    <x v="12"/>
    <s v="[Historical data]_Landlord_Electricity_HiberniaE0024"/>
    <s v="Electricity"/>
    <x v="4"/>
    <m/>
  </r>
  <r>
    <x v="12"/>
    <s v="[Historical data]_Landlord_Electricity_HiberniaE0024"/>
    <s v="Electricity"/>
    <x v="5"/>
    <m/>
  </r>
  <r>
    <x v="12"/>
    <s v="[Historical data]_Landlord_Electricity_HiberniaE0024"/>
    <s v="Electricity"/>
    <x v="6"/>
    <m/>
  </r>
  <r>
    <x v="12"/>
    <s v="[Historical data]_Landlord_Electricity_HiberniaE0024"/>
    <s v="Electricity"/>
    <x v="7"/>
    <m/>
  </r>
  <r>
    <x v="12"/>
    <s v="[Historical data]_Landlord_Electricity_HiberniaE0024"/>
    <s v="Electricity"/>
    <x v="8"/>
    <m/>
  </r>
  <r>
    <x v="12"/>
    <s v="[Historical data]_Landlord_Electricity_HiberniaE0024"/>
    <s v="Electricity"/>
    <x v="9"/>
    <m/>
  </r>
  <r>
    <x v="12"/>
    <s v="[Historical data]_Landlord_Electricity_HiberniaE0024"/>
    <s v="Electricity"/>
    <x v="10"/>
    <m/>
  </r>
  <r>
    <x v="12"/>
    <s v="[Historical data]_Landlord_Electricity_HiberniaE0024"/>
    <s v="Electricity"/>
    <x v="11"/>
    <m/>
  </r>
  <r>
    <x v="12"/>
    <s v="[Historical data]_Tenant_Water_HiberniaW0014"/>
    <s v="Water"/>
    <x v="0"/>
    <n v="182.001"/>
  </r>
  <r>
    <x v="12"/>
    <s v="[Historical data]_Tenant_Water_HiberniaW0014"/>
    <s v="Water"/>
    <x v="1"/>
    <n v="279.29899999999998"/>
  </r>
  <r>
    <x v="12"/>
    <s v="[Historical data]_Tenant_Water_HiberniaW0014"/>
    <s v="Water"/>
    <x v="2"/>
    <n v="478.202"/>
  </r>
  <r>
    <x v="12"/>
    <s v="[Historical data]_Tenant_Water_HiberniaW0014"/>
    <s v="Water"/>
    <x v="3"/>
    <n v="334.79899999999998"/>
  </r>
  <r>
    <x v="12"/>
    <s v="[Historical data]_Tenant_Water_HiberniaW0014"/>
    <s v="Water"/>
    <x v="4"/>
    <n v="389.5"/>
  </r>
  <r>
    <x v="12"/>
    <s v="[Historical data]_Tenant_Water_HiberniaW0014"/>
    <s v="Water"/>
    <x v="5"/>
    <n v="432.30099999999999"/>
  </r>
  <r>
    <x v="12"/>
    <s v="[Historical data]_Tenant_Water_HiberniaW0014"/>
    <s v="Water"/>
    <x v="6"/>
    <n v="266.69900000000001"/>
  </r>
  <r>
    <x v="12"/>
    <s v="[Historical data]_Tenant_Water_HiberniaW0014"/>
    <s v="Water"/>
    <x v="7"/>
    <n v="216.101"/>
  </r>
  <r>
    <x v="12"/>
    <s v="[Historical data]_Tenant_Water_HiberniaW0014"/>
    <s v="Water"/>
    <x v="8"/>
    <n v="297.40100000000001"/>
  </r>
  <r>
    <x v="12"/>
    <s v="[Historical data]_Tenant_Water_HiberniaW0014"/>
    <s v="Water"/>
    <x v="9"/>
    <n v="266.60000000000002"/>
  </r>
  <r>
    <x v="12"/>
    <s v="[Historical data]_Tenant_Water_HiberniaW0014"/>
    <s v="Water"/>
    <x v="10"/>
    <n v="365.8"/>
  </r>
  <r>
    <x v="12"/>
    <s v="[Historical data]_Tenant_Water_HiberniaW0014"/>
    <s v="Water"/>
    <x v="11"/>
    <n v="245"/>
  </r>
  <r>
    <x v="12"/>
    <s v="[Historical_Data]_Tenant_electricity_HiberniaE0034"/>
    <s v="Electricity"/>
    <x v="0"/>
    <m/>
  </r>
  <r>
    <x v="12"/>
    <s v="[Historical_Data]_Tenant_electricity_HiberniaE0034"/>
    <s v="Electricity"/>
    <x v="1"/>
    <m/>
  </r>
  <r>
    <x v="12"/>
    <s v="[Historical_Data]_Tenant_electricity_HiberniaE0034"/>
    <s v="Electricity"/>
    <x v="2"/>
    <m/>
  </r>
  <r>
    <x v="12"/>
    <s v="[Historical_Data]_Tenant_electricity_HiberniaE0034"/>
    <s v="Electricity"/>
    <x v="3"/>
    <m/>
  </r>
  <r>
    <x v="12"/>
    <s v="[Historical_Data]_Tenant_electricity_HiberniaE0034"/>
    <s v="Electricity"/>
    <x v="4"/>
    <m/>
  </r>
  <r>
    <x v="12"/>
    <s v="[Historical_Data]_Tenant_electricity_HiberniaE0034"/>
    <s v="Electricity"/>
    <x v="5"/>
    <m/>
  </r>
  <r>
    <x v="12"/>
    <s v="[Historical_Data]_Tenant_electricity_HiberniaE0034"/>
    <s v="Electricity"/>
    <x v="6"/>
    <m/>
  </r>
  <r>
    <x v="12"/>
    <s v="[Historical_Data]_Tenant_electricity_HiberniaE0034"/>
    <s v="Electricity"/>
    <x v="7"/>
    <m/>
  </r>
  <r>
    <x v="12"/>
    <s v="[Historical_Data]_Tenant_electricity_HiberniaE0034"/>
    <s v="Electricity"/>
    <x v="8"/>
    <m/>
  </r>
  <r>
    <x v="12"/>
    <s v="[Historical_Data]_Tenant_electricity_HiberniaE0034"/>
    <s v="Electricity"/>
    <x v="9"/>
    <m/>
  </r>
  <r>
    <x v="12"/>
    <s v="[Historical_Data]_Tenant_electricity_HiberniaE0034"/>
    <s v="Electricity"/>
    <x v="10"/>
    <m/>
  </r>
  <r>
    <x v="12"/>
    <s v="[Historical_Data]_Tenant_electricity_HiberniaE0034"/>
    <s v="Electricity"/>
    <x v="11"/>
    <m/>
  </r>
  <r>
    <x v="12"/>
    <s v="Hibernia0017_dry_mixed_recycling"/>
    <s v="Waste"/>
    <x v="0"/>
    <m/>
  </r>
  <r>
    <x v="12"/>
    <s v="Hibernia0017_dry_mixed_recycling"/>
    <s v="Waste"/>
    <x v="1"/>
    <m/>
  </r>
  <r>
    <x v="12"/>
    <s v="Hibernia0017_dry_mixed_recycling"/>
    <s v="Waste"/>
    <x v="2"/>
    <m/>
  </r>
  <r>
    <x v="12"/>
    <s v="Hibernia0017_dry_mixed_recycling"/>
    <s v="Waste"/>
    <x v="3"/>
    <m/>
  </r>
  <r>
    <x v="12"/>
    <s v="Hibernia0017_dry_mixed_recycling"/>
    <s v="Waste"/>
    <x v="4"/>
    <m/>
  </r>
  <r>
    <x v="12"/>
    <s v="Hibernia0017_dry_mixed_recycling"/>
    <s v="Waste"/>
    <x v="5"/>
    <m/>
  </r>
  <r>
    <x v="12"/>
    <s v="Hibernia0017_dry_mixed_recycling"/>
    <s v="Waste"/>
    <x v="6"/>
    <m/>
  </r>
  <r>
    <x v="12"/>
    <s v="Hibernia0017_dry_mixed_recycling"/>
    <s v="Waste"/>
    <x v="7"/>
    <m/>
  </r>
  <r>
    <x v="12"/>
    <s v="Hibernia0017_dry_mixed_recycling"/>
    <s v="Waste"/>
    <x v="8"/>
    <m/>
  </r>
  <r>
    <x v="12"/>
    <s v="Hibernia0017_dry_mixed_recycling"/>
    <s v="Waste"/>
    <x v="9"/>
    <m/>
  </r>
  <r>
    <x v="12"/>
    <s v="Hibernia0017_dry_mixed_recycling"/>
    <s v="Waste"/>
    <x v="10"/>
    <m/>
  </r>
  <r>
    <x v="12"/>
    <s v="Hibernia0017_dry_mixed_recycling"/>
    <s v="Waste"/>
    <x v="11"/>
    <m/>
  </r>
  <r>
    <x v="12"/>
    <s v="Hibernia0017_commercial_and_industrial_waste"/>
    <s v="Waste"/>
    <x v="0"/>
    <m/>
  </r>
  <r>
    <x v="12"/>
    <s v="Hibernia0017_commercial_and_industrial_waste"/>
    <s v="Waste"/>
    <x v="1"/>
    <m/>
  </r>
  <r>
    <x v="12"/>
    <s v="Hibernia0017_commercial_and_industrial_waste"/>
    <s v="Waste"/>
    <x v="2"/>
    <m/>
  </r>
  <r>
    <x v="12"/>
    <s v="Hibernia0017_commercial_and_industrial_waste"/>
    <s v="Waste"/>
    <x v="3"/>
    <m/>
  </r>
  <r>
    <x v="12"/>
    <s v="Hibernia0017_commercial_and_industrial_waste"/>
    <s v="Waste"/>
    <x v="4"/>
    <m/>
  </r>
  <r>
    <x v="12"/>
    <s v="Hibernia0017_commercial_and_industrial_waste"/>
    <s v="Waste"/>
    <x v="5"/>
    <m/>
  </r>
  <r>
    <x v="12"/>
    <s v="Hibernia0017_commercial_and_industrial_waste"/>
    <s v="Waste"/>
    <x v="6"/>
    <m/>
  </r>
  <r>
    <x v="12"/>
    <s v="Hibernia0017_commercial_and_industrial_waste"/>
    <s v="Waste"/>
    <x v="7"/>
    <m/>
  </r>
  <r>
    <x v="12"/>
    <s v="Hibernia0017_commercial_and_industrial_waste"/>
    <s v="Waste"/>
    <x v="8"/>
    <m/>
  </r>
  <r>
    <x v="12"/>
    <s v="Hibernia0017_commercial_and_industrial_waste"/>
    <s v="Waste"/>
    <x v="9"/>
    <m/>
  </r>
  <r>
    <x v="12"/>
    <s v="Hibernia0017_commercial_and_industrial_waste"/>
    <s v="Waste"/>
    <x v="10"/>
    <m/>
  </r>
  <r>
    <x v="12"/>
    <s v="Hibernia0017_commercial_and_industrial_waste"/>
    <s v="Waste"/>
    <x v="11"/>
    <m/>
  </r>
  <r>
    <x v="13"/>
    <s v="Gas_HiberniaG0015"/>
    <s v="Gas"/>
    <x v="0"/>
    <m/>
  </r>
  <r>
    <x v="13"/>
    <s v="Gas_HiberniaG0015"/>
    <s v="Gas"/>
    <x v="1"/>
    <m/>
  </r>
  <r>
    <x v="13"/>
    <s v="Gas_HiberniaG0015"/>
    <s v="Gas"/>
    <x v="2"/>
    <m/>
  </r>
  <r>
    <x v="13"/>
    <s v="Gas_HiberniaG0015"/>
    <s v="Gas"/>
    <x v="3"/>
    <m/>
  </r>
  <r>
    <x v="13"/>
    <s v="Gas_HiberniaG0015"/>
    <s v="Gas"/>
    <x v="4"/>
    <m/>
  </r>
  <r>
    <x v="13"/>
    <s v="Gas_HiberniaG0015"/>
    <s v="Gas"/>
    <x v="5"/>
    <m/>
  </r>
  <r>
    <x v="13"/>
    <s v="Gas_HiberniaG0015"/>
    <s v="Gas"/>
    <x v="6"/>
    <m/>
  </r>
  <r>
    <x v="13"/>
    <s v="Gas_HiberniaG0015"/>
    <s v="Gas"/>
    <x v="7"/>
    <m/>
  </r>
  <r>
    <x v="13"/>
    <s v="Gas_HiberniaG0015"/>
    <s v="Gas"/>
    <x v="8"/>
    <m/>
  </r>
  <r>
    <x v="13"/>
    <s v="Gas_HiberniaG0015"/>
    <s v="Gas"/>
    <x v="9"/>
    <m/>
  </r>
  <r>
    <x v="13"/>
    <s v="Gas_HiberniaG0015"/>
    <s v="Gas"/>
    <x v="10"/>
    <m/>
  </r>
  <r>
    <x v="13"/>
    <s v="Gas_HiberniaG0015"/>
    <s v="Gas"/>
    <x v="11"/>
    <m/>
  </r>
  <r>
    <x v="13"/>
    <s v="Tenant_Water_HiberniaW0015"/>
    <s v="Water"/>
    <x v="0"/>
    <n v="302"/>
  </r>
  <r>
    <x v="13"/>
    <s v="Tenant_Water_HiberniaW0015"/>
    <s v="Water"/>
    <x v="1"/>
    <n v="302"/>
  </r>
  <r>
    <x v="13"/>
    <s v="Tenant_Water_HiberniaW0015"/>
    <s v="Water"/>
    <x v="2"/>
    <n v="367.5"/>
  </r>
  <r>
    <x v="13"/>
    <s v="Tenant_Water_HiberniaW0015"/>
    <s v="Water"/>
    <x v="3"/>
    <n v="376"/>
  </r>
  <r>
    <x v="13"/>
    <s v="Tenant_Water_HiberniaW0015"/>
    <s v="Water"/>
    <x v="4"/>
    <n v="376"/>
  </r>
  <r>
    <x v="13"/>
    <s v="Tenant_Water_HiberniaW0015"/>
    <s v="Water"/>
    <x v="5"/>
    <n v="376"/>
  </r>
  <r>
    <x v="13"/>
    <s v="Tenant_Water_HiberniaW0015"/>
    <s v="Water"/>
    <x v="6"/>
    <n v="379.1"/>
  </r>
  <r>
    <x v="13"/>
    <s v="Tenant_Water_HiberniaW0015"/>
    <s v="Water"/>
    <x v="7"/>
    <n v="357.2"/>
  </r>
  <r>
    <x v="13"/>
    <s v="Tenant_Water_HiberniaW0015"/>
    <s v="Water"/>
    <x v="8"/>
    <n v="365"/>
  </r>
  <r>
    <x v="13"/>
    <s v="Tenant_Water_HiberniaW0015"/>
    <s v="Water"/>
    <x v="9"/>
    <n v="426.3"/>
  </r>
  <r>
    <x v="13"/>
    <s v="Tenant_Water_HiberniaW0015"/>
    <s v="Water"/>
    <x v="10"/>
    <n v="447.1"/>
  </r>
  <r>
    <x v="13"/>
    <s v="Tenant_Water_HiberniaW0015"/>
    <s v="Water"/>
    <x v="11"/>
    <n v="348.6"/>
  </r>
  <r>
    <x v="13"/>
    <s v="Hibernia0018_Hubspot whole building Elec"/>
    <s v="Electricity"/>
    <x v="0"/>
    <m/>
  </r>
  <r>
    <x v="13"/>
    <s v="Hibernia0018_Hubspot whole building Elec"/>
    <s v="Electricity"/>
    <x v="1"/>
    <m/>
  </r>
  <r>
    <x v="13"/>
    <s v="Hibernia0018_Hubspot whole building Elec"/>
    <s v="Electricity"/>
    <x v="2"/>
    <m/>
  </r>
  <r>
    <x v="13"/>
    <s v="Hibernia0018_Hubspot whole building Elec"/>
    <s v="Electricity"/>
    <x v="3"/>
    <m/>
  </r>
  <r>
    <x v="13"/>
    <s v="Hibernia0018_Hubspot whole building Elec"/>
    <s v="Electricity"/>
    <x v="4"/>
    <m/>
  </r>
  <r>
    <x v="13"/>
    <s v="Hibernia0018_Hubspot whole building Elec"/>
    <s v="Electricity"/>
    <x v="5"/>
    <m/>
  </r>
  <r>
    <x v="13"/>
    <s v="Hibernia0018_Hubspot whole building Elec"/>
    <s v="Electricity"/>
    <x v="6"/>
    <m/>
  </r>
  <r>
    <x v="13"/>
    <s v="Hibernia0018_Hubspot whole building Elec"/>
    <s v="Electricity"/>
    <x v="7"/>
    <m/>
  </r>
  <r>
    <x v="13"/>
    <s v="Hibernia0018_Hubspot whole building Elec"/>
    <s v="Electricity"/>
    <x v="8"/>
    <m/>
  </r>
  <r>
    <x v="13"/>
    <s v="Hibernia0018_Hubspot whole building Elec"/>
    <s v="Electricity"/>
    <x v="9"/>
    <m/>
  </r>
  <r>
    <x v="13"/>
    <s v="Hibernia0018_Hubspot whole building Elec"/>
    <s v="Electricity"/>
    <x v="10"/>
    <m/>
  </r>
  <r>
    <x v="13"/>
    <s v="Hibernia0018_Hubspot whole building Elec"/>
    <s v="Electricity"/>
    <x v="11"/>
    <m/>
  </r>
  <r>
    <x v="13"/>
    <s v="Hibernia0018_organic_waste"/>
    <s v="Waste"/>
    <x v="0"/>
    <m/>
  </r>
  <r>
    <x v="13"/>
    <s v="Hibernia0018_organic_waste"/>
    <s v="Waste"/>
    <x v="1"/>
    <m/>
  </r>
  <r>
    <x v="13"/>
    <s v="Hibernia0018_organic_waste"/>
    <s v="Waste"/>
    <x v="2"/>
    <m/>
  </r>
  <r>
    <x v="13"/>
    <s v="Hibernia0018_organic_waste"/>
    <s v="Waste"/>
    <x v="3"/>
    <m/>
  </r>
  <r>
    <x v="13"/>
    <s v="Hibernia0018_organic_waste"/>
    <s v="Waste"/>
    <x v="4"/>
    <m/>
  </r>
  <r>
    <x v="13"/>
    <s v="Hibernia0018_organic_waste"/>
    <s v="Waste"/>
    <x v="5"/>
    <m/>
  </r>
  <r>
    <x v="13"/>
    <s v="Hibernia0018_organic_waste"/>
    <s v="Waste"/>
    <x v="6"/>
    <m/>
  </r>
  <r>
    <x v="13"/>
    <s v="Hibernia0018_organic_waste"/>
    <s v="Waste"/>
    <x v="7"/>
    <m/>
  </r>
  <r>
    <x v="13"/>
    <s v="Hibernia0018_organic_waste"/>
    <s v="Waste"/>
    <x v="8"/>
    <m/>
  </r>
  <r>
    <x v="13"/>
    <s v="Hibernia0018_organic_waste"/>
    <s v="Waste"/>
    <x v="9"/>
    <m/>
  </r>
  <r>
    <x v="13"/>
    <s v="Hibernia0018_organic_waste"/>
    <s v="Waste"/>
    <x v="10"/>
    <m/>
  </r>
  <r>
    <x v="13"/>
    <s v="Hibernia0018_organic_waste"/>
    <s v="Waste"/>
    <x v="11"/>
    <m/>
  </r>
  <r>
    <x v="13"/>
    <s v="Hibernia0018_dry_mixed_recycling"/>
    <s v="Waste"/>
    <x v="0"/>
    <m/>
  </r>
  <r>
    <x v="13"/>
    <s v="Hibernia0018_dry_mixed_recycling"/>
    <s v="Waste"/>
    <x v="1"/>
    <m/>
  </r>
  <r>
    <x v="13"/>
    <s v="Hibernia0018_dry_mixed_recycling"/>
    <s v="Waste"/>
    <x v="2"/>
    <m/>
  </r>
  <r>
    <x v="13"/>
    <s v="Hibernia0018_dry_mixed_recycling"/>
    <s v="Waste"/>
    <x v="3"/>
    <m/>
  </r>
  <r>
    <x v="13"/>
    <s v="Hibernia0018_dry_mixed_recycling"/>
    <s v="Waste"/>
    <x v="4"/>
    <m/>
  </r>
  <r>
    <x v="13"/>
    <s v="Hibernia0018_dry_mixed_recycling"/>
    <s v="Waste"/>
    <x v="5"/>
    <m/>
  </r>
  <r>
    <x v="13"/>
    <s v="Hibernia0018_dry_mixed_recycling"/>
    <s v="Waste"/>
    <x v="6"/>
    <m/>
  </r>
  <r>
    <x v="13"/>
    <s v="Hibernia0018_dry_mixed_recycling"/>
    <s v="Waste"/>
    <x v="7"/>
    <m/>
  </r>
  <r>
    <x v="13"/>
    <s v="Hibernia0018_dry_mixed_recycling"/>
    <s v="Waste"/>
    <x v="8"/>
    <m/>
  </r>
  <r>
    <x v="13"/>
    <s v="Hibernia0018_dry_mixed_recycling"/>
    <s v="Waste"/>
    <x v="9"/>
    <m/>
  </r>
  <r>
    <x v="13"/>
    <s v="Hibernia0018_dry_mixed_recycling"/>
    <s v="Waste"/>
    <x v="10"/>
    <m/>
  </r>
  <r>
    <x v="13"/>
    <s v="Hibernia0018_dry_mixed_recycling"/>
    <s v="Waste"/>
    <x v="11"/>
    <m/>
  </r>
  <r>
    <x v="13"/>
    <s v="Hibernia0018_commercial_and_industrial_waste"/>
    <s v="Waste"/>
    <x v="0"/>
    <m/>
  </r>
  <r>
    <x v="13"/>
    <s v="Hibernia0018_commercial_and_industrial_waste"/>
    <s v="Waste"/>
    <x v="1"/>
    <m/>
  </r>
  <r>
    <x v="13"/>
    <s v="Hibernia0018_commercial_and_industrial_waste"/>
    <s v="Waste"/>
    <x v="2"/>
    <m/>
  </r>
  <r>
    <x v="13"/>
    <s v="Hibernia0018_commercial_and_industrial_waste"/>
    <s v="Waste"/>
    <x v="3"/>
    <m/>
  </r>
  <r>
    <x v="13"/>
    <s v="Hibernia0018_commercial_and_industrial_waste"/>
    <s v="Waste"/>
    <x v="4"/>
    <m/>
  </r>
  <r>
    <x v="13"/>
    <s v="Hibernia0018_commercial_and_industrial_waste"/>
    <s v="Waste"/>
    <x v="5"/>
    <m/>
  </r>
  <r>
    <x v="13"/>
    <s v="Hibernia0018_commercial_and_industrial_waste"/>
    <s v="Waste"/>
    <x v="6"/>
    <m/>
  </r>
  <r>
    <x v="13"/>
    <s v="Hibernia0018_commercial_and_industrial_waste"/>
    <s v="Waste"/>
    <x v="7"/>
    <m/>
  </r>
  <r>
    <x v="13"/>
    <s v="Hibernia0018_commercial_and_industrial_waste"/>
    <s v="Waste"/>
    <x v="8"/>
    <m/>
  </r>
  <r>
    <x v="13"/>
    <s v="Hibernia0018_commercial_and_industrial_waste"/>
    <s v="Waste"/>
    <x v="9"/>
    <m/>
  </r>
  <r>
    <x v="13"/>
    <s v="Hibernia0018_commercial_and_industrial_waste"/>
    <s v="Waste"/>
    <x v="10"/>
    <m/>
  </r>
  <r>
    <x v="13"/>
    <s v="Hibernia0018_commercial_and_industrial_waste"/>
    <s v="Waste"/>
    <x v="11"/>
    <m/>
  </r>
  <r>
    <x v="13"/>
    <s v="Hibernia0018_1SJRQ_Cafe Electricity"/>
    <s v="Electricity"/>
    <x v="7"/>
    <m/>
  </r>
  <r>
    <x v="13"/>
    <s v="Hibernia0018_1SJRQ_Cafe Electricity"/>
    <s v="Electricity"/>
    <x v="8"/>
    <m/>
  </r>
  <r>
    <x v="13"/>
    <s v="Hibernia0018_1SJRQ_Cafe Electricity"/>
    <s v="Electricity"/>
    <x v="9"/>
    <m/>
  </r>
  <r>
    <x v="13"/>
    <s v="Hibernia0018_1SJRQ_Cafe Electricity"/>
    <s v="Electricity"/>
    <x v="10"/>
    <m/>
  </r>
  <r>
    <x v="13"/>
    <s v="Hibernia0018_1SJRQ_Cafe Electricity"/>
    <s v="Electricity"/>
    <x v="11"/>
    <m/>
  </r>
  <r>
    <x v="13"/>
    <s v="Hibernia0018_Greenroom Elec"/>
    <s v="Electricity"/>
    <x v="9"/>
    <m/>
  </r>
  <r>
    <x v="13"/>
    <s v="Hibernia0018_Greenroom Elec"/>
    <s v="Electricity"/>
    <x v="10"/>
    <m/>
  </r>
  <r>
    <x v="13"/>
    <s v="Hibernia0018_Greenroom Elec"/>
    <s v="Electricity"/>
    <x v="11"/>
    <m/>
  </r>
  <r>
    <x v="13"/>
    <s v="Hibernia0018_1SJRQ Pub_Dockers"/>
    <s v="Electricity"/>
    <x v="9"/>
    <m/>
  </r>
  <r>
    <x v="13"/>
    <s v="Hibernia0018_1SJRQ Pub_Dockers"/>
    <s v="Electricity"/>
    <x v="10"/>
    <m/>
  </r>
  <r>
    <x v="13"/>
    <s v="Hibernia0018_1SJRQ Pub_Dockers"/>
    <s v="Electricity"/>
    <x v="11"/>
    <m/>
  </r>
  <r>
    <x v="13"/>
    <s v="Hibernia0018_1SJRQ Physio unit Elec"/>
    <s v="Electricity"/>
    <x v="9"/>
    <m/>
  </r>
  <r>
    <x v="13"/>
    <s v="Hibernia0018_1SJRQ Physio unit Elec"/>
    <s v="Electricity"/>
    <x v="10"/>
    <m/>
  </r>
  <r>
    <x v="13"/>
    <s v="Hibernia0018_1SJRQ Physio unit Elec"/>
    <s v="Electricity"/>
    <x v="11"/>
    <m/>
  </r>
  <r>
    <x v="14"/>
    <s v="[Historical data]_Tenant_Electricity_HiberniaE0026"/>
    <s v="Electricity"/>
    <x v="0"/>
    <m/>
  </r>
  <r>
    <x v="14"/>
    <s v="[Historical data]_Tenant_Electricity_HiberniaE0026"/>
    <s v="Electricity"/>
    <x v="1"/>
    <m/>
  </r>
  <r>
    <x v="14"/>
    <s v="[Historical data]_Tenant_Electricity_HiberniaE0026"/>
    <s v="Electricity"/>
    <x v="2"/>
    <m/>
  </r>
  <r>
    <x v="14"/>
    <s v="[Historical data]_Tenant_Electricity_HiberniaE0026"/>
    <s v="Electricity"/>
    <x v="3"/>
    <m/>
  </r>
  <r>
    <x v="14"/>
    <s v="[Historical data]_Tenant_Electricity_HiberniaE0026"/>
    <s v="Electricity"/>
    <x v="4"/>
    <m/>
  </r>
  <r>
    <x v="14"/>
    <s v="[Historical data]_Tenant_Electricity_HiberniaE0026"/>
    <s v="Electricity"/>
    <x v="5"/>
    <m/>
  </r>
  <r>
    <x v="14"/>
    <s v="[Historical data]_Tenant_Electricity_HiberniaE0026"/>
    <s v="Electricity"/>
    <x v="6"/>
    <m/>
  </r>
  <r>
    <x v="14"/>
    <s v="[Historical data]_Tenant_Electricity_HiberniaE0026"/>
    <s v="Electricity"/>
    <x v="7"/>
    <m/>
  </r>
  <r>
    <x v="14"/>
    <s v="[Historical data]_Tenant_Electricity_HiberniaE0026"/>
    <s v="Electricity"/>
    <x v="8"/>
    <m/>
  </r>
  <r>
    <x v="14"/>
    <s v="[Historical data]_Tenant_Electricity_HiberniaE0026"/>
    <s v="Electricity"/>
    <x v="9"/>
    <m/>
  </r>
  <r>
    <x v="14"/>
    <s v="[Historical data]_Tenant_Electricity_HiberniaE0026"/>
    <s v="Electricity"/>
    <x v="10"/>
    <m/>
  </r>
  <r>
    <x v="14"/>
    <s v="[Historical data]_Tenant_Electricity_HiberniaE0026"/>
    <s v="Electricity"/>
    <x v="11"/>
    <m/>
  </r>
  <r>
    <x v="14"/>
    <s v="[Historical data]_Tenant_Gas_HiberniaG0016"/>
    <s v="Gas"/>
    <x v="0"/>
    <m/>
  </r>
  <r>
    <x v="14"/>
    <s v="[Historical data]_Tenant_Gas_HiberniaG0016"/>
    <s v="Gas"/>
    <x v="1"/>
    <m/>
  </r>
  <r>
    <x v="14"/>
    <s v="[Historical data]_Tenant_Gas_HiberniaG0016"/>
    <s v="Gas"/>
    <x v="2"/>
    <m/>
  </r>
  <r>
    <x v="14"/>
    <s v="[Historical data]_Tenant_Gas_HiberniaG0016"/>
    <s v="Gas"/>
    <x v="3"/>
    <m/>
  </r>
  <r>
    <x v="14"/>
    <s v="[Historical data]_Tenant_Gas_HiberniaG0016"/>
    <s v="Gas"/>
    <x v="4"/>
    <m/>
  </r>
  <r>
    <x v="14"/>
    <s v="[Historical data]_Tenant_Gas_HiberniaG0016"/>
    <s v="Gas"/>
    <x v="5"/>
    <m/>
  </r>
  <r>
    <x v="14"/>
    <s v="[Historical data]_Tenant_Gas_HiberniaG0016"/>
    <s v="Gas"/>
    <x v="6"/>
    <m/>
  </r>
  <r>
    <x v="14"/>
    <s v="[Historical data]_Tenant_Gas_HiberniaG0016"/>
    <s v="Gas"/>
    <x v="7"/>
    <m/>
  </r>
  <r>
    <x v="14"/>
    <s v="[Historical data]_Tenant_Gas_HiberniaG0016"/>
    <s v="Gas"/>
    <x v="8"/>
    <m/>
  </r>
  <r>
    <x v="14"/>
    <s v="[Historical data]_Tenant_Gas_HiberniaG0016"/>
    <s v="Gas"/>
    <x v="9"/>
    <m/>
  </r>
  <r>
    <x v="14"/>
    <s v="[Historical data]_Tenant_Gas_HiberniaG0016"/>
    <s v="Gas"/>
    <x v="10"/>
    <m/>
  </r>
  <r>
    <x v="14"/>
    <s v="[Historical data]_Tenant_Gas_HiberniaG0016"/>
    <s v="Gas"/>
    <x v="11"/>
    <m/>
  </r>
  <r>
    <x v="15"/>
    <s v="[Historical data]_Tenant_Electricity_HiberniaE0027"/>
    <s v="Electricity"/>
    <x v="0"/>
    <m/>
  </r>
  <r>
    <x v="15"/>
    <s v="[Historical data]_Tenant_Electricity_HiberniaE0027"/>
    <s v="Electricity"/>
    <x v="1"/>
    <m/>
  </r>
  <r>
    <x v="15"/>
    <s v="[Historical data]_Tenant_Electricity_HiberniaE0027"/>
    <s v="Electricity"/>
    <x v="2"/>
    <m/>
  </r>
  <r>
    <x v="15"/>
    <s v="[Historical data]_Tenant_Electricity_HiberniaE0027"/>
    <s v="Electricity"/>
    <x v="3"/>
    <m/>
  </r>
  <r>
    <x v="15"/>
    <s v="[Historical data]_Tenant_Electricity_HiberniaE0027"/>
    <s v="Electricity"/>
    <x v="4"/>
    <m/>
  </r>
  <r>
    <x v="15"/>
    <s v="[Historical data]_Tenant_Electricity_HiberniaE0027"/>
    <s v="Electricity"/>
    <x v="5"/>
    <m/>
  </r>
  <r>
    <x v="15"/>
    <s v="[Historical data]_Tenant_Electricity_HiberniaE0027"/>
    <s v="Electricity"/>
    <x v="6"/>
    <m/>
  </r>
  <r>
    <x v="15"/>
    <s v="[Historical data]_Tenant_Electricity_HiberniaE0027"/>
    <s v="Electricity"/>
    <x v="7"/>
    <m/>
  </r>
  <r>
    <x v="15"/>
    <s v="[Historical data]_Tenant_Electricity_HiberniaE0027"/>
    <s v="Electricity"/>
    <x v="8"/>
    <m/>
  </r>
  <r>
    <x v="15"/>
    <s v="[Historical data]_Tenant_Electricity_HiberniaE0027"/>
    <s v="Electricity"/>
    <x v="9"/>
    <m/>
  </r>
  <r>
    <x v="15"/>
    <s v="[Historical data]_Tenant_Electricity_HiberniaE0027"/>
    <s v="Electricity"/>
    <x v="10"/>
    <m/>
  </r>
  <r>
    <x v="15"/>
    <s v="[Historical data]_Tenant_Electricity_HiberniaE0027"/>
    <s v="Electricity"/>
    <x v="11"/>
    <m/>
  </r>
  <r>
    <x v="15"/>
    <s v="[Historical data]_Tenant_Gas_HiberniaG0017"/>
    <s v="Gas"/>
    <x v="0"/>
    <m/>
  </r>
  <r>
    <x v="15"/>
    <s v="[Historical data]_Tenant_Gas_HiberniaG0017"/>
    <s v="Gas"/>
    <x v="1"/>
    <m/>
  </r>
  <r>
    <x v="15"/>
    <s v="[Historical data]_Tenant_Gas_HiberniaG0017"/>
    <s v="Gas"/>
    <x v="2"/>
    <m/>
  </r>
  <r>
    <x v="15"/>
    <s v="[Historical data]_Tenant_Gas_HiberniaG0017"/>
    <s v="Gas"/>
    <x v="3"/>
    <m/>
  </r>
  <r>
    <x v="15"/>
    <s v="[Historical data]_Tenant_Gas_HiberniaG0017"/>
    <s v="Gas"/>
    <x v="4"/>
    <m/>
  </r>
  <r>
    <x v="15"/>
    <s v="[Historical data]_Tenant_Gas_HiberniaG0017"/>
    <s v="Gas"/>
    <x v="5"/>
    <m/>
  </r>
  <r>
    <x v="15"/>
    <s v="[Historical data]_Tenant_Gas_HiberniaG0017"/>
    <s v="Gas"/>
    <x v="6"/>
    <m/>
  </r>
  <r>
    <x v="15"/>
    <s v="[Historical data]_Tenant_Gas_HiberniaG0017"/>
    <s v="Gas"/>
    <x v="7"/>
    <m/>
  </r>
  <r>
    <x v="15"/>
    <s v="[Historical data]_Tenant_Gas_HiberniaG0017"/>
    <s v="Gas"/>
    <x v="8"/>
    <m/>
  </r>
  <r>
    <x v="15"/>
    <s v="[Historical data]_Tenant_Gas_HiberniaG0017"/>
    <s v="Gas"/>
    <x v="9"/>
    <m/>
  </r>
  <r>
    <x v="15"/>
    <s v="[Historical data]_Tenant_Gas_HiberniaG0017"/>
    <s v="Gas"/>
    <x v="10"/>
    <m/>
  </r>
  <r>
    <x v="15"/>
    <s v="[Historical data]_Tenant_Gas_HiberniaG0017"/>
    <s v="Gas"/>
    <x v="11"/>
    <m/>
  </r>
  <r>
    <x v="15"/>
    <s v="[Historical data]_Landlord_Water_HiberniaW0017"/>
    <s v="Water"/>
    <x v="0"/>
    <n v="27.414450757575761"/>
  </r>
  <r>
    <x v="15"/>
    <s v="[Historical data]_Landlord_Water_HiberniaW0017"/>
    <s v="Water"/>
    <x v="1"/>
    <n v="24.761439393939391"/>
  </r>
  <r>
    <x v="15"/>
    <s v="[Historical data]_Landlord_Water_HiberniaW0017"/>
    <s v="Water"/>
    <x v="2"/>
    <n v="27.414450757575761"/>
  </r>
  <r>
    <x v="15"/>
    <s v="[Historical data]_Landlord_Water_HiberniaW0017"/>
    <s v="Water"/>
    <x v="3"/>
    <n v="26.530113636363641"/>
  </r>
  <r>
    <x v="15"/>
    <s v="[Historical data]_Landlord_Water_HiberniaW0017"/>
    <s v="Water"/>
    <x v="4"/>
    <n v="27.414450757575761"/>
  </r>
  <r>
    <x v="15"/>
    <s v="[Historical data]_Landlord_Water_HiberniaW0017"/>
    <s v="Water"/>
    <x v="5"/>
    <n v="26.530113636363641"/>
  </r>
  <r>
    <x v="15"/>
    <s v="[Historical data]_Landlord_Water_HiberniaW0017"/>
    <s v="Water"/>
    <x v="6"/>
    <n v="27.414450757575761"/>
  </r>
  <r>
    <x v="15"/>
    <s v="[Historical data]_Landlord_Water_HiberniaW0017"/>
    <s v="Water"/>
    <x v="7"/>
    <n v="27.414450757575761"/>
  </r>
  <r>
    <x v="15"/>
    <s v="[Historical data]_Landlord_Water_HiberniaW0017"/>
    <s v="Water"/>
    <x v="8"/>
    <n v="26.530113636363641"/>
  </r>
  <r>
    <x v="15"/>
    <s v="[Historical data]_Landlord_Water_HiberniaW0017"/>
    <s v="Water"/>
    <x v="9"/>
    <n v="38.564762295081962"/>
  </r>
  <r>
    <x v="15"/>
    <s v="[Historical data]_Landlord_Water_HiberniaW0017"/>
    <s v="Water"/>
    <x v="10"/>
    <n v="37.320737704918031"/>
  </r>
  <r>
    <x v="15"/>
    <s v="[Historical data]_Landlord_Water_HiberniaW0017"/>
    <s v="Water"/>
    <x v="11"/>
    <n v="31.730700384997512"/>
  </r>
  <r>
    <x v="16"/>
    <s v="[Historical data]_Tenant_Electricity_HiberniaE0028"/>
    <s v="Electricity"/>
    <x v="6"/>
    <m/>
  </r>
  <r>
    <x v="16"/>
    <s v="[Historical data]_Tenant_Electricity_HiberniaE0028"/>
    <s v="Electricity"/>
    <x v="7"/>
    <m/>
  </r>
  <r>
    <x v="16"/>
    <s v="[Historical data]_Tenant_Electricity_HiberniaE0028"/>
    <s v="Electricity"/>
    <x v="8"/>
    <m/>
  </r>
  <r>
    <x v="16"/>
    <s v="[Historical data]_Tenant_Electricity_HiberniaE0028"/>
    <s v="Electricity"/>
    <x v="9"/>
    <m/>
  </r>
  <r>
    <x v="16"/>
    <s v="[Historical data]_Tenant_Electricity_HiberniaE0028"/>
    <s v="Electricity"/>
    <x v="10"/>
    <m/>
  </r>
  <r>
    <x v="16"/>
    <s v="[Historical data]_Tenant_Electricity_HiberniaE0028"/>
    <s v="Electricity"/>
    <x v="11"/>
    <m/>
  </r>
  <r>
    <x v="16"/>
    <s v="[Historical data]_Landlord_Electricity_HiberniaE0029"/>
    <s v="Electricity"/>
    <x v="0"/>
    <m/>
  </r>
  <r>
    <x v="16"/>
    <s v="[Historical data]_Landlord_Electricity_HiberniaE0029"/>
    <s v="Electricity"/>
    <x v="1"/>
    <m/>
  </r>
  <r>
    <x v="16"/>
    <s v="[Historical data]_Landlord_Electricity_HiberniaE0029"/>
    <s v="Electricity"/>
    <x v="2"/>
    <m/>
  </r>
  <r>
    <x v="16"/>
    <s v="[Historical data]_Landlord_Electricity_HiberniaE0029"/>
    <s v="Electricity"/>
    <x v="3"/>
    <m/>
  </r>
  <r>
    <x v="16"/>
    <s v="[Historical data]_Landlord_Electricity_HiberniaE0029"/>
    <s v="Electricity"/>
    <x v="4"/>
    <m/>
  </r>
  <r>
    <x v="16"/>
    <s v="[Historical data]_Landlord_Electricity_HiberniaE0029"/>
    <s v="Electricity"/>
    <x v="5"/>
    <m/>
  </r>
  <r>
    <x v="16"/>
    <s v="[Historical data]_Landlord_Electricity_HiberniaE0029"/>
    <s v="Electricity"/>
    <x v="6"/>
    <m/>
  </r>
  <r>
    <x v="16"/>
    <s v="[Historical data]_Landlord_Electricity_HiberniaE0029"/>
    <s v="Electricity"/>
    <x v="7"/>
    <m/>
  </r>
  <r>
    <x v="16"/>
    <s v="[Historical data]_Landlord_Electricity_HiberniaE0029"/>
    <s v="Electricity"/>
    <x v="8"/>
    <m/>
  </r>
  <r>
    <x v="16"/>
    <s v="[Historical data]_Landlord_Electricity_HiberniaE0029"/>
    <s v="Electricity"/>
    <x v="9"/>
    <m/>
  </r>
  <r>
    <x v="16"/>
    <s v="[Historical data]_Landlord_Electricity_HiberniaE0029"/>
    <s v="Electricity"/>
    <x v="10"/>
    <m/>
  </r>
  <r>
    <x v="16"/>
    <s v="[Historical data]_Landlord_Electricity_HiberniaE0029"/>
    <s v="Electricity"/>
    <x v="11"/>
    <m/>
  </r>
  <r>
    <x v="16"/>
    <s v="[Historical data]_Tenant_Gas_HiberniaG0018"/>
    <s v="Gas"/>
    <x v="6"/>
    <m/>
  </r>
  <r>
    <x v="16"/>
    <s v="[Historical data]_Tenant_Gas_HiberniaG0018"/>
    <s v="Gas"/>
    <x v="7"/>
    <m/>
  </r>
  <r>
    <x v="16"/>
    <s v="[Historical data]_Tenant_Gas_HiberniaG0018"/>
    <s v="Gas"/>
    <x v="8"/>
    <m/>
  </r>
  <r>
    <x v="16"/>
    <s v="[Historical data]_Tenant_Gas_HiberniaG0018"/>
    <s v="Gas"/>
    <x v="9"/>
    <m/>
  </r>
  <r>
    <x v="16"/>
    <s v="[Historical data]_Tenant_Gas_HiberniaG0018"/>
    <s v="Gas"/>
    <x v="10"/>
    <m/>
  </r>
  <r>
    <x v="16"/>
    <s v="[Historical data]_Tenant_Gas_HiberniaG0018"/>
    <s v="Gas"/>
    <x v="11"/>
    <m/>
  </r>
  <r>
    <x v="16"/>
    <s v="Hibernia0023_organic_waste"/>
    <s v="Waste"/>
    <x v="1"/>
    <m/>
  </r>
  <r>
    <x v="16"/>
    <s v="Hibernia0023_organic_waste"/>
    <s v="Waste"/>
    <x v="2"/>
    <m/>
  </r>
  <r>
    <x v="16"/>
    <s v="Hibernia0023_organic_waste"/>
    <s v="Waste"/>
    <x v="3"/>
    <m/>
  </r>
  <r>
    <x v="16"/>
    <s v="Hibernia0023_organic_waste"/>
    <s v="Waste"/>
    <x v="4"/>
    <m/>
  </r>
  <r>
    <x v="16"/>
    <s v="Hibernia0023_organic_waste"/>
    <s v="Waste"/>
    <x v="5"/>
    <m/>
  </r>
  <r>
    <x v="16"/>
    <s v="Hibernia0023_organic_waste"/>
    <s v="Waste"/>
    <x v="6"/>
    <m/>
  </r>
  <r>
    <x v="16"/>
    <s v="Hibernia0023_organic_waste"/>
    <s v="Waste"/>
    <x v="7"/>
    <m/>
  </r>
  <r>
    <x v="16"/>
    <s v="Hibernia0023_organic_waste"/>
    <s v="Waste"/>
    <x v="8"/>
    <m/>
  </r>
  <r>
    <x v="16"/>
    <s v="Hibernia0023_organic_waste"/>
    <s v="Waste"/>
    <x v="9"/>
    <m/>
  </r>
  <r>
    <x v="16"/>
    <s v="Hibernia0023_organic_waste"/>
    <s v="Waste"/>
    <x v="10"/>
    <m/>
  </r>
  <r>
    <x v="16"/>
    <s v="Hibernia0023_organic_waste"/>
    <s v="Waste"/>
    <x v="11"/>
    <m/>
  </r>
  <r>
    <x v="16"/>
    <s v="Hibernia0023_dry_mixed_recycling"/>
    <s v="Waste"/>
    <x v="1"/>
    <m/>
  </r>
  <r>
    <x v="16"/>
    <s v="Hibernia0023_dry_mixed_recycling"/>
    <s v="Waste"/>
    <x v="2"/>
    <m/>
  </r>
  <r>
    <x v="16"/>
    <s v="Hibernia0023_dry_mixed_recycling"/>
    <s v="Waste"/>
    <x v="3"/>
    <m/>
  </r>
  <r>
    <x v="16"/>
    <s v="Hibernia0023_dry_mixed_recycling"/>
    <s v="Waste"/>
    <x v="4"/>
    <m/>
  </r>
  <r>
    <x v="16"/>
    <s v="Hibernia0023_dry_mixed_recycling"/>
    <s v="Waste"/>
    <x v="5"/>
    <m/>
  </r>
  <r>
    <x v="16"/>
    <s v="Hibernia0023_dry_mixed_recycling"/>
    <s v="Waste"/>
    <x v="6"/>
    <m/>
  </r>
  <r>
    <x v="16"/>
    <s v="Hibernia0023_dry_mixed_recycling"/>
    <s v="Waste"/>
    <x v="7"/>
    <m/>
  </r>
  <r>
    <x v="16"/>
    <s v="Hibernia0023_dry_mixed_recycling"/>
    <s v="Waste"/>
    <x v="8"/>
    <m/>
  </r>
  <r>
    <x v="16"/>
    <s v="Hibernia0023_dry_mixed_recycling"/>
    <s v="Waste"/>
    <x v="9"/>
    <m/>
  </r>
  <r>
    <x v="16"/>
    <s v="Hibernia0023_dry_mixed_recycling"/>
    <s v="Waste"/>
    <x v="10"/>
    <m/>
  </r>
  <r>
    <x v="16"/>
    <s v="Hibernia0023_dry_mixed_recycling"/>
    <s v="Waste"/>
    <x v="11"/>
    <m/>
  </r>
  <r>
    <x v="16"/>
    <s v="Hibernia0023_commercial_and_industrial_waste"/>
    <s v="Waste"/>
    <x v="1"/>
    <m/>
  </r>
  <r>
    <x v="16"/>
    <s v="Hibernia0023_commercial_and_industrial_waste"/>
    <s v="Waste"/>
    <x v="2"/>
    <m/>
  </r>
  <r>
    <x v="16"/>
    <s v="Hibernia0023_commercial_and_industrial_waste"/>
    <s v="Waste"/>
    <x v="3"/>
    <m/>
  </r>
  <r>
    <x v="16"/>
    <s v="Hibernia0023_commercial_and_industrial_waste"/>
    <s v="Waste"/>
    <x v="4"/>
    <m/>
  </r>
  <r>
    <x v="16"/>
    <s v="Hibernia0023_commercial_and_industrial_waste"/>
    <s v="Waste"/>
    <x v="5"/>
    <m/>
  </r>
  <r>
    <x v="16"/>
    <s v="Hibernia0023_commercial_and_industrial_waste"/>
    <s v="Waste"/>
    <x v="6"/>
    <m/>
  </r>
  <r>
    <x v="16"/>
    <s v="Hibernia0023_commercial_and_industrial_waste"/>
    <s v="Waste"/>
    <x v="7"/>
    <m/>
  </r>
  <r>
    <x v="16"/>
    <s v="Hibernia0023_commercial_and_industrial_waste"/>
    <s v="Waste"/>
    <x v="8"/>
    <m/>
  </r>
  <r>
    <x v="16"/>
    <s v="Hibernia0023_commercial_and_industrial_waste"/>
    <s v="Waste"/>
    <x v="9"/>
    <m/>
  </r>
  <r>
    <x v="16"/>
    <s v="Hibernia0023_commercial_and_industrial_waste"/>
    <s v="Waste"/>
    <x v="10"/>
    <m/>
  </r>
  <r>
    <x v="16"/>
    <s v="Hibernia0023_commercial_and_industrial_waste"/>
    <s v="Waste"/>
    <x v="11"/>
    <m/>
  </r>
  <r>
    <x v="17"/>
    <s v="[Historical data]_Tenant_Electricity_HiberniaE0008"/>
    <s v="Electricity"/>
    <x v="0"/>
    <m/>
  </r>
  <r>
    <x v="17"/>
    <s v="[Historical data]_Tenant_Electricity_HiberniaE0008"/>
    <s v="Electricity"/>
    <x v="1"/>
    <m/>
  </r>
  <r>
    <x v="17"/>
    <s v="[Historical data]_Tenant_Electricity_HiberniaE0008"/>
    <s v="Electricity"/>
    <x v="2"/>
    <m/>
  </r>
  <r>
    <x v="17"/>
    <s v="[Historical data]_Landlord_Electricity_HiberniaE0009"/>
    <s v="Electricity"/>
    <x v="0"/>
    <m/>
  </r>
  <r>
    <x v="17"/>
    <s v="[Historical data]_Landlord_Electricity_HiberniaE0009"/>
    <s v="Electricity"/>
    <x v="1"/>
    <m/>
  </r>
  <r>
    <x v="17"/>
    <s v="[Historical data]_Landlord_Electricity_HiberniaE0009"/>
    <s v="Electricity"/>
    <x v="2"/>
    <m/>
  </r>
  <r>
    <x v="17"/>
    <s v="[Historical data]_Landlord_Gas_HiberniaG0005"/>
    <s v="Gas"/>
    <x v="0"/>
    <m/>
  </r>
  <r>
    <x v="17"/>
    <s v="[Historical data]_Landlord_Gas_HiberniaG0005"/>
    <s v="Gas"/>
    <x v="1"/>
    <m/>
  </r>
  <r>
    <x v="17"/>
    <s v="[Historical data]_Landlord_Gas_HiberniaG0005"/>
    <s v="Gas"/>
    <x v="2"/>
    <m/>
  </r>
  <r>
    <x v="17"/>
    <s v="[Historical data]_Landlord_Water_HiberniaW0005"/>
    <s v="Water"/>
    <x v="0"/>
    <n v="74.3"/>
  </r>
  <r>
    <x v="17"/>
    <s v="[Historical data]_Landlord_Water_HiberniaW0005"/>
    <s v="Water"/>
    <x v="1"/>
    <n v="104.12"/>
  </r>
  <r>
    <x v="17"/>
    <s v="[Historical data]_Landlord_Water_HiberniaW0005"/>
    <s v="Water"/>
    <x v="2"/>
    <n v="117.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298AB2-64AF-4B3E-8974-897DD5F048B1}"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N22" firstHeaderRow="1" firstDataRow="2" firstDataCol="1"/>
  <pivotFields count="5">
    <pivotField axis="axisRow" showAll="0">
      <items count="19">
        <item x="3"/>
        <item x="13"/>
        <item x="0"/>
        <item x="4"/>
        <item x="1"/>
        <item x="2"/>
        <item x="17"/>
        <item x="5"/>
        <item x="9"/>
        <item x="12"/>
        <item x="7"/>
        <item x="8"/>
        <item x="6"/>
        <item x="11"/>
        <item x="14"/>
        <item x="15"/>
        <item x="10"/>
        <item x="16"/>
        <item t="default"/>
      </items>
    </pivotField>
    <pivotField showAll="0"/>
    <pivotField showAll="0"/>
    <pivotField axis="axisCol" showAll="0">
      <items count="13">
        <item x="0"/>
        <item x="1"/>
        <item x="2"/>
        <item x="3"/>
        <item x="4"/>
        <item x="5"/>
        <item x="6"/>
        <item x="7"/>
        <item x="8"/>
        <item x="9"/>
        <item x="10"/>
        <item x="11"/>
        <item t="default"/>
      </items>
    </pivotField>
    <pivotField dataField="1" showAll="0"/>
  </pivotFields>
  <rowFields count="1">
    <field x="0"/>
  </rowFields>
  <rowItems count="19">
    <i>
      <x/>
    </i>
    <i>
      <x v="1"/>
    </i>
    <i>
      <x v="2"/>
    </i>
    <i>
      <x v="3"/>
    </i>
    <i>
      <x v="4"/>
    </i>
    <i>
      <x v="5"/>
    </i>
    <i>
      <x v="6"/>
    </i>
    <i>
      <x v="7"/>
    </i>
    <i>
      <x v="8"/>
    </i>
    <i>
      <x v="9"/>
    </i>
    <i>
      <x v="10"/>
    </i>
    <i>
      <x v="11"/>
    </i>
    <i>
      <x v="12"/>
    </i>
    <i>
      <x v="13"/>
    </i>
    <i>
      <x v="14"/>
    </i>
    <i>
      <x v="15"/>
    </i>
    <i>
      <x v="16"/>
    </i>
    <i>
      <x v="17"/>
    </i>
    <i t="grand">
      <x/>
    </i>
  </rowItems>
  <colFields count="1">
    <field x="3"/>
  </colFields>
  <colItems count="13">
    <i>
      <x/>
    </i>
    <i>
      <x v="1"/>
    </i>
    <i>
      <x v="2"/>
    </i>
    <i>
      <x v="3"/>
    </i>
    <i>
      <x v="4"/>
    </i>
    <i>
      <x v="5"/>
    </i>
    <i>
      <x v="6"/>
    </i>
    <i>
      <x v="7"/>
    </i>
    <i>
      <x v="8"/>
    </i>
    <i>
      <x v="9"/>
    </i>
    <i>
      <x v="10"/>
    </i>
    <i>
      <x v="11"/>
    </i>
    <i t="grand">
      <x/>
    </i>
  </colItems>
  <dataFields count="1">
    <dataField name="Sum of Actual + gap-filled consumption (volume) (m³)" fld="4" baseField="0" baseItem="0" numFmtId="43"/>
  </dataFields>
  <formats count="39">
    <format dxfId="98">
      <pivotArea outline="0" collapsedLevelsAreSubtotals="1" fieldPosition="0"/>
    </format>
    <format dxfId="97">
      <pivotArea dataOnly="0" labelOnly="1" fieldPosition="0">
        <references count="1">
          <reference field="0" count="1">
            <x v="12"/>
          </reference>
        </references>
      </pivotArea>
    </format>
    <format dxfId="96">
      <pivotArea dataOnly="0" labelOnly="1" fieldPosition="0">
        <references count="1">
          <reference field="0" count="2">
            <x v="13"/>
            <x v="14"/>
          </reference>
        </references>
      </pivotArea>
    </format>
    <format dxfId="95">
      <pivotArea dataOnly="0" labelOnly="1" fieldPosition="0">
        <references count="1">
          <reference field="0" count="1">
            <x v="17"/>
          </reference>
        </references>
      </pivotArea>
    </format>
    <format dxfId="94">
      <pivotArea dataOnly="0" labelOnly="1" fieldPosition="0">
        <references count="1">
          <reference field="0" count="1">
            <x v="17"/>
          </reference>
        </references>
      </pivotArea>
    </format>
    <format dxfId="93">
      <pivotArea dataOnly="0" labelOnly="1" fieldPosition="0">
        <references count="1">
          <reference field="0" count="3">
            <x v="12"/>
            <x v="13"/>
            <x v="14"/>
          </reference>
        </references>
      </pivotArea>
    </format>
    <format dxfId="92">
      <pivotArea dataOnly="0" labelOnly="1" fieldPosition="0">
        <references count="1">
          <reference field="0" count="1">
            <x v="8"/>
          </reference>
        </references>
      </pivotArea>
    </format>
    <format dxfId="91">
      <pivotArea dataOnly="0" labelOnly="1" fieldPosition="0">
        <references count="1">
          <reference field="0" count="1">
            <x v="7"/>
          </reference>
        </references>
      </pivotArea>
    </format>
    <format dxfId="90">
      <pivotArea collapsedLevelsAreSubtotals="1" fieldPosition="0">
        <references count="2">
          <reference field="0" count="1">
            <x v="4"/>
          </reference>
          <reference field="3" count="4" selected="0">
            <x v="0"/>
            <x v="1"/>
            <x v="2"/>
            <x v="3"/>
          </reference>
        </references>
      </pivotArea>
    </format>
    <format dxfId="89">
      <pivotArea type="all" dataOnly="0" outline="0" fieldPosition="0"/>
    </format>
    <format dxfId="88">
      <pivotArea outline="0" collapsedLevelsAreSubtotals="1" fieldPosition="0"/>
    </format>
    <format dxfId="87">
      <pivotArea type="origin" dataOnly="0" labelOnly="1" outline="0" fieldPosition="0"/>
    </format>
    <format dxfId="86">
      <pivotArea field="3" type="button" dataOnly="0" labelOnly="1" outline="0" axis="axisCol" fieldPosition="0"/>
    </format>
    <format dxfId="85">
      <pivotArea type="topRight" dataOnly="0" labelOnly="1" outline="0" fieldPosition="0"/>
    </format>
    <format dxfId="84">
      <pivotArea field="0" type="button" dataOnly="0" labelOnly="1" outline="0" axis="axisRow" fieldPosition="0"/>
    </format>
    <format dxfId="83">
      <pivotArea dataOnly="0" labelOnly="1" fieldPosition="0">
        <references count="1">
          <reference field="0" count="0"/>
        </references>
      </pivotArea>
    </format>
    <format dxfId="82">
      <pivotArea dataOnly="0" labelOnly="1" grandRow="1" outline="0" fieldPosition="0"/>
    </format>
    <format dxfId="81">
      <pivotArea dataOnly="0" labelOnly="1" fieldPosition="0">
        <references count="1">
          <reference field="3" count="0"/>
        </references>
      </pivotArea>
    </format>
    <format dxfId="80">
      <pivotArea dataOnly="0" labelOnly="1" grandCol="1" outline="0" fieldPosition="0"/>
    </format>
    <format dxfId="79">
      <pivotArea collapsedLevelsAreSubtotals="1" fieldPosition="0">
        <references count="1">
          <reference field="0" count="2">
            <x v="7"/>
            <x v="8"/>
          </reference>
        </references>
      </pivotArea>
    </format>
    <format dxfId="78">
      <pivotArea collapsedLevelsAreSubtotals="1" fieldPosition="0">
        <references count="1">
          <reference field="0" count="3">
            <x v="12"/>
            <x v="13"/>
            <x v="14"/>
          </reference>
        </references>
      </pivotArea>
    </format>
    <format dxfId="77">
      <pivotArea collapsedLevelsAreSubtotals="1" fieldPosition="0">
        <references count="1">
          <reference field="0" count="1">
            <x v="17"/>
          </reference>
        </references>
      </pivotArea>
    </format>
    <format dxfId="76">
      <pivotArea collapsedLevelsAreSubtotals="1" fieldPosition="0">
        <references count="2">
          <reference field="0" count="1">
            <x v="6"/>
          </reference>
          <reference field="3" count="9" selected="0">
            <x v="3"/>
            <x v="4"/>
            <x v="5"/>
            <x v="6"/>
            <x v="7"/>
            <x v="8"/>
            <x v="9"/>
            <x v="10"/>
            <x v="11"/>
          </reference>
        </references>
      </pivotArea>
    </format>
    <format dxfId="75">
      <pivotArea dataOnly="0" labelOnly="1" fieldPosition="0">
        <references count="1">
          <reference field="0" count="1">
            <x v="4"/>
          </reference>
        </references>
      </pivotArea>
    </format>
    <format dxfId="74">
      <pivotArea dataOnly="0" labelOnly="1" fieldPosition="0">
        <references count="1">
          <reference field="0" count="1">
            <x v="6"/>
          </reference>
        </references>
      </pivotArea>
    </format>
    <format dxfId="73">
      <pivotArea collapsedLevelsAreSubtotals="1" fieldPosition="0">
        <references count="2">
          <reference field="0" count="1">
            <x v="6"/>
          </reference>
          <reference field="3" count="9" selected="0">
            <x v="3"/>
            <x v="4"/>
            <x v="5"/>
            <x v="6"/>
            <x v="7"/>
            <x v="8"/>
            <x v="9"/>
            <x v="10"/>
            <x v="11"/>
          </reference>
        </references>
      </pivotArea>
    </format>
    <format dxfId="72">
      <pivotArea dataOnly="0" labelOnly="1" fieldPosition="0">
        <references count="1">
          <reference field="0" count="1">
            <x v="6"/>
          </reference>
        </references>
      </pivotArea>
    </format>
    <format dxfId="71">
      <pivotArea collapsedLevelsAreSubtotals="1" fieldPosition="0">
        <references count="2">
          <reference field="0" count="1">
            <x v="16"/>
          </reference>
          <reference field="3" count="1" selected="0">
            <x v="8"/>
          </reference>
        </references>
      </pivotArea>
    </format>
    <format dxfId="70">
      <pivotArea type="all" dataOnly="0" outline="0" fieldPosition="0"/>
    </format>
    <format dxfId="69">
      <pivotArea outline="0" collapsedLevelsAreSubtotals="1" fieldPosition="0"/>
    </format>
    <format dxfId="68">
      <pivotArea type="origin" dataOnly="0" labelOnly="1" outline="0" fieldPosition="0"/>
    </format>
    <format dxfId="67">
      <pivotArea field="3" type="button" dataOnly="0" labelOnly="1" outline="0" axis="axisCol" fieldPosition="0"/>
    </format>
    <format dxfId="66">
      <pivotArea type="topRight" dataOnly="0" labelOnly="1" outline="0" fieldPosition="0"/>
    </format>
    <format dxfId="65">
      <pivotArea field="0" type="button" dataOnly="0" labelOnly="1" outline="0" axis="axisRow" fieldPosition="0"/>
    </format>
    <format dxfId="64">
      <pivotArea dataOnly="0" labelOnly="1" fieldPosition="0">
        <references count="1">
          <reference field="0" count="0"/>
        </references>
      </pivotArea>
    </format>
    <format dxfId="63">
      <pivotArea dataOnly="0" labelOnly="1" grandRow="1" outline="0" fieldPosition="0"/>
    </format>
    <format dxfId="62">
      <pivotArea dataOnly="0" labelOnly="1" fieldPosition="0">
        <references count="1">
          <reference field="3" count="0"/>
        </references>
      </pivotArea>
    </format>
    <format dxfId="61">
      <pivotArea dataOnly="0" labelOnly="1" grandCol="1" outline="0" fieldPosition="0"/>
    </format>
    <format dxfId="60">
      <pivotArea collapsedLevelsAreSubtotals="1" fieldPosition="0">
        <references count="2">
          <reference field="0" count="1">
            <x v="5"/>
          </reference>
          <reference field="3" count="3" selected="0">
            <x v="8"/>
            <x v="9"/>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FB29604-61C9-433B-A420-824C2A334121}" name="MonthlyWaste"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A63" firstHeaderRow="1" firstDataRow="3" firstDataCol="1"/>
  <pivotFields count="11">
    <pivotField axis="axisRow" showAll="0">
      <items count="16">
        <item x="2"/>
        <item x="0"/>
        <item x="3"/>
        <item x="1"/>
        <item x="4"/>
        <item x="7"/>
        <item x="9"/>
        <item x="5"/>
        <item x="6"/>
        <item x="8"/>
        <item x="10"/>
        <item x="11"/>
        <item x="12"/>
        <item x="13"/>
        <item x="14"/>
        <item t="default"/>
      </items>
    </pivotField>
    <pivotField showAll="0"/>
    <pivotField showAll="0"/>
    <pivotField axis="axisRow" showAll="0">
      <items count="4">
        <item x="1"/>
        <item x="0"/>
        <item x="2"/>
        <item t="default"/>
      </items>
    </pivotField>
    <pivotField dataField="1" showAll="0"/>
    <pivotField dataField="1" showAll="0"/>
    <pivotField dataField="1" showAll="0"/>
    <pivotField dataField="1" showAll="0"/>
    <pivotField showAll="0"/>
    <pivotField numFmtId="1" showAll="0"/>
    <pivotField axis="axisCol" showAll="0">
      <items count="26">
        <item x="0"/>
        <item x="1"/>
        <item x="2"/>
        <item x="3"/>
        <item x="4"/>
        <item x="5"/>
        <item x="6"/>
        <item x="7"/>
        <item x="8"/>
        <item x="9"/>
        <item x="10"/>
        <item x="11"/>
        <item m="1" x="13"/>
        <item m="1" x="14"/>
        <item m="1" x="15"/>
        <item m="1" x="16"/>
        <item m="1" x="17"/>
        <item m="1" x="18"/>
        <item m="1" x="19"/>
        <item m="1" x="20"/>
        <item m="1" x="21"/>
        <item m="1" x="22"/>
        <item m="1" x="23"/>
        <item m="1" x="24"/>
        <item m="1" x="12"/>
        <item t="default"/>
      </items>
    </pivotField>
  </pivotFields>
  <rowFields count="2">
    <field x="0"/>
    <field x="3"/>
  </rowFields>
  <rowItems count="58">
    <i>
      <x/>
    </i>
    <i r="1">
      <x/>
    </i>
    <i r="1">
      <x v="1"/>
    </i>
    <i r="1">
      <x v="2"/>
    </i>
    <i>
      <x v="1"/>
    </i>
    <i r="1">
      <x/>
    </i>
    <i r="1">
      <x v="1"/>
    </i>
    <i r="1">
      <x v="2"/>
    </i>
    <i>
      <x v="2"/>
    </i>
    <i r="1">
      <x/>
    </i>
    <i r="1">
      <x v="1"/>
    </i>
    <i r="1">
      <x v="2"/>
    </i>
    <i>
      <x v="3"/>
    </i>
    <i r="1">
      <x/>
    </i>
    <i r="1">
      <x v="1"/>
    </i>
    <i r="1">
      <x v="2"/>
    </i>
    <i>
      <x v="4"/>
    </i>
    <i r="1">
      <x/>
    </i>
    <i r="1">
      <x v="1"/>
    </i>
    <i r="1">
      <x v="2"/>
    </i>
    <i>
      <x v="5"/>
    </i>
    <i r="1">
      <x/>
    </i>
    <i>
      <x v="6"/>
    </i>
    <i r="1">
      <x/>
    </i>
    <i r="1">
      <x v="2"/>
    </i>
    <i>
      <x v="7"/>
    </i>
    <i r="1">
      <x/>
    </i>
    <i r="1">
      <x v="1"/>
    </i>
    <i r="1">
      <x v="2"/>
    </i>
    <i>
      <x v="8"/>
    </i>
    <i r="1">
      <x/>
    </i>
    <i r="1">
      <x v="1"/>
    </i>
    <i r="1">
      <x v="2"/>
    </i>
    <i>
      <x v="9"/>
    </i>
    <i r="1">
      <x/>
    </i>
    <i r="1">
      <x v="1"/>
    </i>
    <i r="1">
      <x v="2"/>
    </i>
    <i>
      <x v="10"/>
    </i>
    <i r="1">
      <x/>
    </i>
    <i r="1">
      <x v="1"/>
    </i>
    <i r="1">
      <x v="2"/>
    </i>
    <i>
      <x v="11"/>
    </i>
    <i r="1">
      <x/>
    </i>
    <i r="1">
      <x v="1"/>
    </i>
    <i r="1">
      <x v="2"/>
    </i>
    <i>
      <x v="12"/>
    </i>
    <i r="1">
      <x/>
    </i>
    <i r="1">
      <x v="1"/>
    </i>
    <i r="1">
      <x v="2"/>
    </i>
    <i>
      <x v="13"/>
    </i>
    <i r="1">
      <x/>
    </i>
    <i r="1">
      <x v="1"/>
    </i>
    <i r="1">
      <x v="2"/>
    </i>
    <i>
      <x v="14"/>
    </i>
    <i r="1">
      <x/>
    </i>
    <i r="1">
      <x v="1"/>
    </i>
    <i r="1">
      <x v="2"/>
    </i>
    <i t="grand">
      <x/>
    </i>
  </rowItems>
  <colFields count="2">
    <field x="10"/>
    <field x="-2"/>
  </colFields>
  <colItems count="52">
    <i>
      <x/>
      <x/>
    </i>
    <i r="1" i="1">
      <x v="1"/>
    </i>
    <i r="1" i="2">
      <x v="2"/>
    </i>
    <i r="1" i="3">
      <x v="3"/>
    </i>
    <i>
      <x v="1"/>
      <x/>
    </i>
    <i r="1" i="1">
      <x v="1"/>
    </i>
    <i r="1" i="2">
      <x v="2"/>
    </i>
    <i r="1" i="3">
      <x v="3"/>
    </i>
    <i>
      <x v="2"/>
      <x/>
    </i>
    <i r="1" i="1">
      <x v="1"/>
    </i>
    <i r="1" i="2">
      <x v="2"/>
    </i>
    <i r="1" i="3">
      <x v="3"/>
    </i>
    <i>
      <x v="3"/>
      <x/>
    </i>
    <i r="1" i="1">
      <x v="1"/>
    </i>
    <i r="1" i="2">
      <x v="2"/>
    </i>
    <i r="1" i="3">
      <x v="3"/>
    </i>
    <i>
      <x v="4"/>
      <x/>
    </i>
    <i r="1" i="1">
      <x v="1"/>
    </i>
    <i r="1" i="2">
      <x v="2"/>
    </i>
    <i r="1" i="3">
      <x v="3"/>
    </i>
    <i>
      <x v="5"/>
      <x/>
    </i>
    <i r="1" i="1">
      <x v="1"/>
    </i>
    <i r="1" i="2">
      <x v="2"/>
    </i>
    <i r="1" i="3">
      <x v="3"/>
    </i>
    <i>
      <x v="6"/>
      <x/>
    </i>
    <i r="1" i="1">
      <x v="1"/>
    </i>
    <i r="1" i="2">
      <x v="2"/>
    </i>
    <i r="1" i="3">
      <x v="3"/>
    </i>
    <i>
      <x v="7"/>
      <x/>
    </i>
    <i r="1" i="1">
      <x v="1"/>
    </i>
    <i r="1" i="2">
      <x v="2"/>
    </i>
    <i r="1" i="3">
      <x v="3"/>
    </i>
    <i>
      <x v="8"/>
      <x/>
    </i>
    <i r="1" i="1">
      <x v="1"/>
    </i>
    <i r="1" i="2">
      <x v="2"/>
    </i>
    <i r="1" i="3">
      <x v="3"/>
    </i>
    <i>
      <x v="9"/>
      <x/>
    </i>
    <i r="1" i="1">
      <x v="1"/>
    </i>
    <i r="1" i="2">
      <x v="2"/>
    </i>
    <i r="1" i="3">
      <x v="3"/>
    </i>
    <i>
      <x v="10"/>
      <x/>
    </i>
    <i r="1" i="1">
      <x v="1"/>
    </i>
    <i r="1" i="2">
      <x v="2"/>
    </i>
    <i r="1" i="3">
      <x v="3"/>
    </i>
    <i>
      <x v="11"/>
      <x/>
    </i>
    <i r="1" i="1">
      <x v="1"/>
    </i>
    <i r="1" i="2">
      <x v="2"/>
    </i>
    <i r="1" i="3">
      <x v="3"/>
    </i>
    <i t="grand">
      <x/>
    </i>
    <i t="grand" i="1">
      <x/>
    </i>
    <i t="grand" i="2">
      <x/>
    </i>
    <i t="grand" i="3">
      <x/>
    </i>
  </colItems>
  <dataFields count="4">
    <dataField name="Energy recovery (kg)" fld="4" baseField="0" baseItem="0"/>
    <dataField name="Compost (kg)" fld="5" baseField="0" baseItem="0"/>
    <dataField name="Recycling (kg)" fld="6" baseField="0" baseItem="0"/>
    <dataField name="Total production (kg)" fld="7" baseField="0" baseItem="0"/>
  </dataFields>
  <formats count="5">
    <format dxfId="53">
      <pivotArea outline="0" collapsedLevelsAreSubtotals="1" fieldPosition="0"/>
    </format>
    <format dxfId="52">
      <pivotArea collapsedLevelsAreSubtotals="1" fieldPosition="0">
        <references count="1">
          <reference field="0" count="1">
            <x v="4"/>
          </reference>
        </references>
      </pivotArea>
    </format>
    <format dxfId="51">
      <pivotArea dataOnly="0" labelOnly="1" fieldPosition="0">
        <references count="1">
          <reference field="0" count="1">
            <x v="4"/>
          </reference>
        </references>
      </pivotArea>
    </format>
    <format dxfId="50">
      <pivotArea collapsedLevelsAreSubtotals="1" fieldPosition="0">
        <references count="1">
          <reference field="0" count="1">
            <x v="10"/>
          </reference>
        </references>
      </pivotArea>
    </format>
    <format dxfId="49">
      <pivotArea dataOnly="0" labelOnly="1" fieldPosition="0">
        <references count="1">
          <reference field="0" count="1">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#REF!</fb>
    <v>3</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849454-6EBC-4247-A03C-C7AF3623CFB2}" name="TblAssets" displayName="TblAssets" ref="A2:T24" totalsRowShown="0" headerRowDxfId="167">
  <autoFilter ref="A2:T24" xr:uid="{6D849454-6EBC-4247-A03C-C7AF3623CFB2}"/>
  <sortState xmlns:xlrd2="http://schemas.microsoft.com/office/spreadsheetml/2017/richdata2" ref="A3:T24">
    <sortCondition ref="B2:B24"/>
  </sortState>
  <tableColumns count="20">
    <tableColumn id="1" xr3:uid="{8F33EB54-7886-4F44-B30B-2735060063C4}" name="Column1"/>
    <tableColumn id="2" xr3:uid="{1D9F373D-9F53-4738-BC3C-B250F7748827}" name="Name"/>
    <tableColumn id="20" xr3:uid="{04EBFC63-B164-4815-A8C0-E00E105AE9EE}" name="Column2"/>
    <tableColumn id="14" xr3:uid="{C08E6AA4-9FE5-4355-A153-3B915E4CDEE9}" name="Cluster"/>
    <tableColumn id="3" xr3:uid="{E702A460-2D17-4869-84C1-01AD65EB3583}" name="Managed or Not"/>
    <tableColumn id="4" xr3:uid="{4079C755-9224-4A42-85BC-D7018EFE3519}" name="Building Type"/>
    <tableColumn id="15" xr3:uid="{ABFF4727-3C8F-47EE-A4A5-804D33004AA3}" name="Common Area m2" dataDxfId="166"/>
    <tableColumn id="17" xr3:uid="{1F70B1A7-8B36-461A-A6D5-9E766AC1EC78}" name="NIA m2" dataDxfId="165"/>
    <tableColumn id="5" xr3:uid="{9D94B752-8765-45AE-A35D-8735EB28F9D4}" name="GIA m2" dataDxfId="164"/>
    <tableColumn id="18" xr3:uid="{F1B007C6-0404-410E-8F8A-A4BB3721F6C4}" name="NIA sq.ft " dataDxfId="163"/>
    <tableColumn id="19" xr3:uid="{146CC157-7BCA-4D44-869D-0A7E7ED9ED04}" name="m2 conversion " dataDxfId="162">
      <calculatedColumnFormula>TblAssets[[#This Row],[NIA sq.ft ]]*$K$1</calculatedColumnFormula>
    </tableColumn>
    <tableColumn id="6" xr3:uid="{B8A5ADAA-654D-4338-9DD9-D3B9D10FC0BE}" name="Rental Income 2024" dataDxfId="161"/>
    <tableColumn id="7" xr3:uid="{8F8BED86-E8DB-4AC8-9DD6-82C15F63CD5F}" name="Value" dataDxfId="160"/>
    <tableColumn id="8" xr3:uid="{2891C9C4-A493-45FB-8C16-2F8A23705D09}" name="Green Building Certification BD+C"/>
    <tableColumn id="9" xr3:uid="{82E0755D-217A-4CEF-A0A8-77CE0934EE77}" name="Green Building Certification O+M"/>
    <tableColumn id="16" xr3:uid="{AA1ECFCA-6590-4130-BF5F-A93BA7023C54}" name="Exp Date"/>
    <tableColumn id="10" xr3:uid="{4016E5E5-7187-42A9-8AF3-88C660354D01}" name="H&amp;W Building Certification"/>
    <tableColumn id="11" xr3:uid="{D5315022-AD78-443C-98CE-6C8D5405CB60}" name="Wiredscore"/>
    <tableColumn id="12" xr3:uid="{9C5F27EC-74CF-4E80-9350-F8DB66F83773}" name="BER"/>
    <tableColumn id="13" xr3:uid="{B8A8BD05-EB07-40F5-9C08-4CE033C9D661}" name="Community engagement"/>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6265ADC-5B30-4157-9579-B502F7788A55}" name="Table69" displayName="Table69" ref="A149:M303" totalsRowShown="0">
  <autoFilter ref="A149:M303" xr:uid="{66265ADC-5B30-4157-9579-B502F7788A55}">
    <filterColumn colId="5">
      <filters>
        <filter val="Scope 3"/>
      </filters>
    </filterColumn>
  </autoFilter>
  <tableColumns count="13">
    <tableColumn id="1" xr3:uid="{014AFB21-27E5-4FE9-BF6D-1F43218C3520}" name="Month"/>
    <tableColumn id="2" xr3:uid="{1AB3936A-9F31-4C31-A1D6-7417782AFDC2}" name="Source" dataDxfId="0"/>
    <tableColumn id="3" xr3:uid="{542579A8-5A02-4909-9AFC-6D7F9967140F}" name="Column1"/>
    <tableColumn id="4" xr3:uid="{B57AC975-D5C1-4769-84DC-0E338497C7BA}" name="Site Name"/>
    <tableColumn id="5" xr3:uid="{EBA34316-FDE1-4E74-B89D-B0F40869E263}" name="Column2"/>
    <tableColumn id="6" xr3:uid="{296E34B3-1376-4756-998F-7DCC80685C79}" name="Scope"/>
    <tableColumn id="7" xr3:uid="{4EC4510C-05BE-461A-903C-3A66F7B6707B}" name="UOM"/>
    <tableColumn id="8" xr3:uid="{88BADAF4-D94A-4D61-87BC-8541E3FFE578}" name="Usage:"/>
    <tableColumn id="9" xr3:uid="{DC3EB886-558C-4A1F-928E-FEA146F1D099}" name="Total Cost (EUR)"/>
    <tableColumn id="10" xr3:uid="{A4ADDD83-1361-4C22-A1B7-59CC56B2F08D}" name="Site Reference number"/>
    <tableColumn id="11" xr3:uid="{0C7DD92E-52D0-4989-A100-4FAD52C890A7}" name="Total CO2e Emissions (Primary) (mtons CO2-e)"/>
    <tableColumn id="12" xr3:uid="{80FD26FB-C285-4D3C-BFB3-E76A2798562A}" name="Total CO2e Emissions (Secondary) (mtons CO2-e)"/>
    <tableColumn id="13" xr3:uid="{E7B09853-BE46-4CCD-8910-93BCEE0DA4D7}" name="GRESB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740586-48F6-45D3-A5E4-4ED21D6096A8}" name="Table6" displayName="Table6" ref="A11:L165" totalsRowShown="0">
  <autoFilter ref="A11:L165" xr:uid="{98740586-48F6-45D3-A5E4-4ED21D6096A8}">
    <filterColumn colId="1">
      <filters>
        <filter val="Electric Power - Shared Services"/>
        <filter val="Electric Power - Tenant Space (Tenant Control)"/>
        <filter val="Electric Power - Upstream T&amp;D Loss"/>
        <filter val="Natural Gas - Whole Building"/>
        <filter val="Renewable Power - Offsite"/>
        <filter val="Renewable Power - Offsite - Tenant"/>
        <filter val="WTT - Electric Power"/>
        <filter val="WTT - Natural gas"/>
      </filters>
    </filterColumn>
    <filterColumn colId="5">
      <filters>
        <filter val="Scope 1"/>
        <filter val="Scope 2"/>
      </filters>
    </filterColumn>
  </autoFilter>
  <tableColumns count="12">
    <tableColumn id="1" xr3:uid="{F16F50CB-7423-412E-A228-756CAB6A2328}" name="Month"/>
    <tableColumn id="2" xr3:uid="{B3FF4DD9-A7C4-419E-910C-97F86347DB83}" name="Source"/>
    <tableColumn id="3" xr3:uid="{873152E5-866B-4DD4-A82F-1A88139A5989}" name="Column1"/>
    <tableColumn id="4" xr3:uid="{3F8C39E5-A9A0-47CD-B681-EC9E5C98E42B}" name="Site Name"/>
    <tableColumn id="5" xr3:uid="{0BC89730-F434-4187-984C-0710F961C7E7}" name="Column2"/>
    <tableColumn id="6" xr3:uid="{C515B133-BA6B-442F-B9D8-8F79C6A53B31}" name="Scope"/>
    <tableColumn id="7" xr3:uid="{5C0657D5-D23D-4393-B978-B0CAA8294EC2}" name="UOM"/>
    <tableColumn id="8" xr3:uid="{D810CE88-FCF2-4AD6-A1AC-8B0314585BD4}" name="Usage:"/>
    <tableColumn id="9" xr3:uid="{9061499B-A84A-4328-845C-38749E8024CB}" name="Total Cost (EUR)"/>
    <tableColumn id="10" xr3:uid="{2946CCF2-2A7A-4D36-B71E-8EB8EB657C38}" name="Site Reference number"/>
    <tableColumn id="11" xr3:uid="{A2D3B44B-BBAE-490D-BC54-DF07B5E30F05}" name="Total CO2e Emissions (Primary) (mtons CO2-e)"/>
    <tableColumn id="12" xr3:uid="{B8E4566B-35E8-4C71-8AAB-214154A50F1E}" name="Total CO2e Emissions (Secondary) (mtons CO2-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154769-D160-491A-86D3-286BF543387B}" name="TblWater" displayName="TblWater" ref="A10:S33" totalsRowShown="0" headerRowDxfId="159" dataDxfId="157" headerRowBorderDxfId="158" tableBorderDxfId="156" headerRowCellStyle="Normal 3" dataCellStyle="Normal 3">
  <autoFilter ref="A10:S33" xr:uid="{F3154769-D160-491A-86D3-286BF543387B}"/>
  <tableColumns count="19">
    <tableColumn id="1" xr3:uid="{63E4F8C5-D4BE-4DDD-B9AE-083A80014EDA}" name="Site" dataDxfId="155" dataCellStyle="Normal 3"/>
    <tableColumn id="2" xr3:uid="{8D4A4163-E8BE-4243-9284-0A7FB87E6D2B}" name="Managed" dataDxfId="154" dataCellStyle="Normal 3"/>
    <tableColumn id="3" xr3:uid="{D996EC6E-4B6C-4FF0-ACB8-027DB2A7233F}" name="Office/resi" dataDxfId="153" dataCellStyle="Normal 3"/>
    <tableColumn id="4" xr3:uid="{4B27A19D-40A6-47EA-9413-748382A39915}" name="Source"/>
    <tableColumn id="5" xr3:uid="{E9BC6C2C-8A06-4784-86CB-1A04E683CF16}" name="Type" dataDxfId="152" dataCellStyle="Normal 3"/>
    <tableColumn id="6" xr3:uid="{2D6C15DD-C2F9-40A9-A8A1-D68E4856EE48}" name="UOM:" dataDxfId="151" dataCellStyle="Normal 3"/>
    <tableColumn id="7" xr3:uid="{8E2F7689-78CB-4395-954D-B647BDFC1CC0}" name="Jan-24" dataDxfId="150" dataCellStyle="Normal 3"/>
    <tableColumn id="8" xr3:uid="{092384CB-11AA-49BB-8E3A-F393903DF8AE}" name="Feb-24" dataDxfId="149" dataCellStyle="Normal 3"/>
    <tableColumn id="9" xr3:uid="{54B3FEC4-B368-4ED5-B1B4-EA0F5FC46D85}" name="Mar-24" dataDxfId="148" dataCellStyle="Normal 3"/>
    <tableColumn id="10" xr3:uid="{7F9B5D62-369C-4BAD-8B52-167CF0BC9A5E}" name="Apr-24" dataDxfId="147" dataCellStyle="Normal 3"/>
    <tableColumn id="11" xr3:uid="{4FFF995E-9D50-4982-8952-EF68C69C5088}" name="May-24" dataDxfId="146" dataCellStyle="Normal 3"/>
    <tableColumn id="12" xr3:uid="{A89C9BEF-6234-4A6D-94EF-FA286257B093}" name="Jun-24" dataDxfId="145" dataCellStyle="Normal 3"/>
    <tableColumn id="13" xr3:uid="{FB75FFB6-915A-4AFC-BF32-F8392F262338}" name="Jul-24" dataDxfId="144" dataCellStyle="Normal 3"/>
    <tableColumn id="14" xr3:uid="{1BB01199-1E65-47C2-B8FC-67B4436D9197}" name="Aug-24" dataDxfId="143" dataCellStyle="Normal 3"/>
    <tableColumn id="15" xr3:uid="{2F981679-C03D-4FDC-9116-3E83DE7E72A9}" name="Sep-24" dataDxfId="142" dataCellStyle="Normal 3"/>
    <tableColumn id="16" xr3:uid="{A3712AE0-93E4-4BF8-8B78-984B813C2013}" name="Oct-24" dataDxfId="141" dataCellStyle="Normal 3"/>
    <tableColumn id="17" xr3:uid="{15249F9E-A00B-468B-AF36-B6A8894F2CEE}" name="Nov-24" dataDxfId="140" dataCellStyle="Normal 3"/>
    <tableColumn id="18" xr3:uid="{9B3FFF2C-2D43-48C0-814D-C59E195620B2}" name="Dec-24" dataDxfId="139" dataCellStyle="Normal 3"/>
    <tableColumn id="19" xr3:uid="{4B4085A0-7A22-434C-9F84-2AE5357DE308}" name="2024 Total" dataDxfId="138" dataCellStyle="Normal 3">
      <calculatedColumnFormula>SUM(G11:R11)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AAB6BA-7558-464E-9709-5A1776C04E91}" name="TblWaste" displayName="TblWaste" ref="A10:W60" totalsRowShown="0" headerRowDxfId="137" dataDxfId="135" headerRowBorderDxfId="136" tableBorderDxfId="134" headerRowCellStyle="Normal 3" dataCellStyle="Normal 3">
  <autoFilter ref="A10:W60" xr:uid="{E6AAB6BA-7558-464E-9709-5A1776C04E91}">
    <filterColumn colId="3">
      <filters>
        <filter val="Non-Haz Waste - Mixed Waste to waste to energy"/>
      </filters>
    </filterColumn>
  </autoFilter>
  <sortState xmlns:xlrd2="http://schemas.microsoft.com/office/spreadsheetml/2017/richdata2" ref="A11:S55">
    <sortCondition ref="D10:D55"/>
  </sortState>
  <tableColumns count="23">
    <tableColumn id="1" xr3:uid="{717610A8-C904-481A-87EA-EB116DF56AA4}" name="Site" dataDxfId="133" dataCellStyle="Normal 3"/>
    <tableColumn id="2" xr3:uid="{BDFD0A54-E9D3-442E-9126-A60BD8D60FC4}" name="Managed" dataDxfId="132" dataCellStyle="Normal 3"/>
    <tableColumn id="3" xr3:uid="{E403B239-1393-4ABB-86B7-57DC67AE3639}" name="Office/resi" dataDxfId="131" dataCellStyle="Normal 3"/>
    <tableColumn id="4" xr3:uid="{8E54BBB5-5BAD-41AA-B5CB-D9387E118581}" name="Source" dataDxfId="130" dataCellStyle="Normal 3"/>
    <tableColumn id="5" xr3:uid="{889C02AB-819A-4952-9825-F31E6443F618}" name="Type" dataDxfId="129" dataCellStyle="Normal 3"/>
    <tableColumn id="6" xr3:uid="{CB959F72-B759-4AFA-A45A-F8D714EA5106}" name="UOM:" dataDxfId="128" dataCellStyle="Normal 3"/>
    <tableColumn id="7" xr3:uid="{9FA4B46C-E877-4462-AF11-6B02AA8F8C2D}" name="Jan-24"/>
    <tableColumn id="8" xr3:uid="{94900BF7-50D8-458C-B917-7C475E8BE8C5}" name="Feb-24"/>
    <tableColumn id="9" xr3:uid="{7014CE53-1CD1-468B-B5FC-12887BA929C9}" name="Mar-24"/>
    <tableColumn id="10" xr3:uid="{C839281D-AF81-4751-88EC-97CB32C55DBB}" name="Apr-24"/>
    <tableColumn id="11" xr3:uid="{ADB6BED6-3B72-4CA1-B2B7-ED51EE8030A8}" name="May-24"/>
    <tableColumn id="12" xr3:uid="{36D6C7A4-0A1E-45C8-BB38-ECE280B718CD}" name="Jun-24"/>
    <tableColumn id="13" xr3:uid="{98E86309-A369-4CE8-B183-5BC386E78A03}" name="Jul-24"/>
    <tableColumn id="14" xr3:uid="{0DAFD41F-79E3-4F90-8949-4AB08075E4E1}" name="Aug-24"/>
    <tableColumn id="15" xr3:uid="{45A71408-02E8-4FB9-B150-161F600E4344}" name="Sep-24"/>
    <tableColumn id="16" xr3:uid="{331BA9C9-B5E7-453F-B9EB-B7747DE948E2}" name="Oct-24"/>
    <tableColumn id="17" xr3:uid="{41052833-15EF-4448-913A-D9D5B13E6B78}" name="Nov-24"/>
    <tableColumn id="18" xr3:uid="{CEB9470E-C2D2-4254-8D2C-93D6C9E9AC33}" name="Dec-24"/>
    <tableColumn id="19" xr3:uid="{7132CEC2-41F7-4A51-A566-E57587AD4A75}" name="2024 Total" dataDxfId="127" dataCellStyle="Normal 3">
      <calculatedColumnFormula>SUM(G11:R11)</calculatedColumnFormula>
    </tableColumn>
    <tableColumn id="20" xr3:uid="{EB49CBBA-E8C2-4083-B12D-0CB0A5D17B85}" name="Column1" dataDxfId="126" dataCellStyle="Normal 3"/>
    <tableColumn id="21" xr3:uid="{A66ADF0A-4D2C-4863-8055-1B31CF5B6933}" name="2023 Total" dataDxfId="125" dataCellStyle="Normal 3"/>
    <tableColumn id="22" xr3:uid="{E26F1245-5804-40C6-B1B8-5E584ABD9BFD}" name="Column2" dataDxfId="124" dataCellStyle="Normal 3"/>
    <tableColumn id="23" xr3:uid="{21507F7F-D885-49DE-AA6D-A618CF4EBF89}" name="2024 waste %" dataDxfId="123" dataCellStyle="Normal 3">
      <calculatedColumnFormula>(S11+S12)/(S11+S12+S13)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848568-994E-49B5-BB4D-5878C7C65B5B}" name="Tbl_Gas" displayName="Tbl_Gas" ref="A10:T31" totalsRowShown="0" headerRowDxfId="122" dataDxfId="120" headerRowBorderDxfId="121" tableBorderDxfId="119" headerRowCellStyle="Normal 3" dataCellStyle="Normal 3">
  <autoFilter ref="A10:T31" xr:uid="{A9848568-994E-49B5-BB4D-5878C7C65B5B}"/>
  <sortState xmlns:xlrd2="http://schemas.microsoft.com/office/spreadsheetml/2017/richdata2" ref="A11:T31">
    <sortCondition ref="A10:A31"/>
  </sortState>
  <tableColumns count="20">
    <tableColumn id="1" xr3:uid="{B47CB600-65A9-4BB2-A189-B1F5D4E15096}" name="Site" dataDxfId="118" dataCellStyle="Normal 3"/>
    <tableColumn id="2" xr3:uid="{BF189421-3BED-42C6-804F-BEEA742EA365}" name="Managed" dataDxfId="117" dataCellStyle="Normal 3"/>
    <tableColumn id="3" xr3:uid="{72F7F8B0-F9E3-4269-866D-841B3B6D5F19}" name="Office/resi" dataDxfId="116" dataCellStyle="Normal 3"/>
    <tableColumn id="4" xr3:uid="{40BBC803-40E5-4166-B161-E07E2DD44496}" name="Source" dataDxfId="115" dataCellStyle="Normal 3"/>
    <tableColumn id="5" xr3:uid="{FCC9320E-B668-49EC-A4AF-65D9607FF989}" name="Type" dataDxfId="114" dataCellStyle="Normal 3"/>
    <tableColumn id="6" xr3:uid="{32A66ACA-D126-4731-BEAD-F806431C6D16}" name="UOM:" dataDxfId="113" dataCellStyle="Normal 3"/>
    <tableColumn id="7" xr3:uid="{C1AD7813-DC9E-41CB-8EAE-C44D1830BBB1}" name="Jan-24" dataDxfId="112" dataCellStyle="Normal 3"/>
    <tableColumn id="8" xr3:uid="{4A34E9E2-252F-4BDB-81C3-763EE95C9FC0}" name="Feb-24" dataDxfId="111" dataCellStyle="Normal 3"/>
    <tableColumn id="9" xr3:uid="{6C6D87FD-5567-4B04-8D35-83B75A30C941}" name="Mar-24" dataDxfId="110" dataCellStyle="Normal 3"/>
    <tableColumn id="10" xr3:uid="{FE88E751-9EF8-48D7-BDE8-457F43E44C96}" name="Apr-24" dataDxfId="109" dataCellStyle="Normal 3"/>
    <tableColumn id="11" xr3:uid="{A672BF45-9C23-4F01-960E-431493A35E07}" name="May-24" dataDxfId="108" dataCellStyle="Normal 3"/>
    <tableColumn id="12" xr3:uid="{8ABDBBEC-7A2C-4D33-BF4E-D73EA2BED563}" name="Jun-24" dataDxfId="107" dataCellStyle="Normal 3"/>
    <tableColumn id="13" xr3:uid="{50C12B19-A862-4255-BB36-D819A36E2C13}" name="Jul-24" dataDxfId="106" dataCellStyle="Normal 3"/>
    <tableColumn id="14" xr3:uid="{1896AB3B-BC91-4EED-B771-01E061C918DE}" name="Aug-24" dataDxfId="105" dataCellStyle="Normal 3"/>
    <tableColumn id="15" xr3:uid="{36AA3165-CCAF-47A5-AC15-3C29B015F40F}" name="Sep-24" dataDxfId="104" dataCellStyle="Normal 3"/>
    <tableColumn id="16" xr3:uid="{C7A70208-0855-49A7-8B53-EBC9D1F5BFD7}" name="Oct-24" dataDxfId="103" dataCellStyle="Normal 3"/>
    <tableColumn id="17" xr3:uid="{14DC127E-DCD9-4941-9F8A-B07B9387DD3D}" name="Nov-24" dataDxfId="102" dataCellStyle="Normal 3"/>
    <tableColumn id="18" xr3:uid="{CCC9C2D3-B919-487A-B82C-3ECDC4B087B3}" name="Dec-24" dataDxfId="101" dataCellStyle="Normal 3"/>
    <tableColumn id="19" xr3:uid="{1781C2D6-98C3-4CBF-B56A-0AF73B4B1A4D}" name="2024 Total" dataDxfId="100" dataCellStyle="Comma">
      <calculatedColumnFormula>SUM(G11:R11)</calculatedColumnFormula>
    </tableColumn>
    <tableColumn id="21" xr3:uid="{B065BF1A-D9ED-48A3-86DF-0879BEB6F4BF}" name="2023 Total" dataDxfId="99" dataCellStyle="Comm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F0C330C-FE49-4636-97C0-5DCE029DEF7A}" name="Table10" displayName="Table10" ref="A3:E152" totalsRowShown="0">
  <autoFilter ref="A3:E152" xr:uid="{2F0C330C-FE49-4636-97C0-5DCE029DEF7A}"/>
  <tableColumns count="5">
    <tableColumn id="1" xr3:uid="{A9DF8AD0-F069-4F57-852D-74DDE93F88B0}" name="Building name"/>
    <tableColumn id="2" xr3:uid="{D41681AD-27C9-4E4E-8D56-55A6E85543B5}" name="Meter name"/>
    <tableColumn id="3" xr3:uid="{EAD1998E-0924-48C2-967C-52BE990D29AA}" name="Utility"/>
    <tableColumn id="4" xr3:uid="{F6E72EBB-226F-4AB2-A0AB-4BFAAACE63A3}" name="Date"/>
    <tableColumn id="5" xr3:uid="{A9010570-84F5-415B-8935-38838180338D}" name="Actual + gap-filled consumption (volume) (m³)"/>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B843AA9-7A40-4451-A298-6E33976901D9}" name="TblAssets3" displayName="TblAssets3" ref="A2:W23" totalsRowShown="0" headerRowDxfId="59">
  <autoFilter ref="A2:W23" xr:uid="{FD1A438C-5255-46C7-A35B-AC820086B819}"/>
  <sortState xmlns:xlrd2="http://schemas.microsoft.com/office/spreadsheetml/2017/richdata2" ref="A3:S23">
    <sortCondition ref="B2:B23"/>
  </sortState>
  <tableColumns count="23">
    <tableColumn id="1" xr3:uid="{C55B1C1D-047F-4000-9BE7-67D258AA4919}" name="Column1"/>
    <tableColumn id="2" xr3:uid="{95A2DEA3-8FCD-49FD-89FB-0BBE589B5A89}" name="Name"/>
    <tableColumn id="20" xr3:uid="{8AD5D937-657D-495C-8869-756A3DA108C7}" name="Column2"/>
    <tableColumn id="14" xr3:uid="{1BF33411-FB99-43DD-BBE8-7F4C341E45AB}" name="Cluster"/>
    <tableColumn id="3" xr3:uid="{2A59E721-0348-4397-9830-6708C8889BA1}" name="Managed or Not"/>
    <tableColumn id="4" xr3:uid="{04A67B22-C74D-4F89-A20A-8452195F7286}" name="Building Type"/>
    <tableColumn id="13" xr3:uid="{F45FF550-636B-4B5B-BF5E-AEC50D2DD6FE}" name="GIA M2"/>
    <tableColumn id="18" xr3:uid="{815A19A2-42E3-48C9-9EE0-43A1A29A1306}" name="NIA sq.ft " dataDxfId="58"/>
    <tableColumn id="19" xr3:uid="{26386B0A-50AD-470E-8A0B-DE042BB55885}" name="m2 conversion " dataDxfId="57">
      <calculatedColumnFormula>TblAssets3[[#This Row],[NIA sq.ft ]]*$I$1</calculatedColumnFormula>
    </tableColumn>
    <tableColumn id="6" xr3:uid="{DF1A6411-C332-4943-9843-CE0F3BFAB57C}" name="Rental Income 2025" dataDxfId="56"/>
    <tableColumn id="7" xr3:uid="{7EE58B16-F1C0-451B-A2AA-93905F5953DF}" name="Value 2025" dataDxfId="55"/>
    <tableColumn id="17" xr3:uid="{0376B902-DE79-4BCB-972A-4F74555F0D7A}" name="Value 2026"/>
    <tableColumn id="5" xr3:uid="{3192F1C4-FB20-427E-B8A8-E31F8B4E7ABD}" name="No. of units (Resi only)"/>
    <tableColumn id="8" xr3:uid="{DB518E87-4BA4-4E60-A3AD-BCFC3351D8B5}" name="Green Building Certification BD+C"/>
    <tableColumn id="9" xr3:uid="{6E15DB9B-FFEB-49F7-9872-E6271B60401F}" name="Green Building Certification O+M"/>
    <tableColumn id="16" xr3:uid="{E57B6A08-3989-4D79-9B4A-0766CA2B1C64}" name="Exp Date"/>
    <tableColumn id="10" xr3:uid="{34E03A40-3B1F-44D6-A09A-450232E09526}" name="H&amp;W Building Certification"/>
    <tableColumn id="11" xr3:uid="{F6A04BBC-0338-4D57-9243-E0C23D5A505C}" name="Wiredscore"/>
    <tableColumn id="12" xr3:uid="{D999D0AB-DDA7-4345-B9CD-D9C9B716894A}" name="BER"/>
    <tableColumn id="15" xr3:uid="{B660B52B-1504-46F7-BF66-57D1B576484D}" name="Community engagement programme "/>
    <tableColumn id="21" xr3:uid="{6C911709-44AE-4131-ABCA-1EF2356838A6}" name="Column3"/>
    <tableColumn id="22" xr3:uid="{66415052-7484-4F06-92F3-83F368F8B593}" name="Column4"/>
    <tableColumn id="23" xr3:uid="{0F5F1701-1BBB-46C5-9C0F-3B5B3DBAE630}" name="Column5" dataDxfId="54">
      <calculatedColumnFormula>V2/SUM(V2:V3)</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3B306-17A3-4AC4-A227-55E23063AD18}" name="TblElec" displayName="TblElec" ref="A10:U70" totalsRowShown="0" headerRowDxfId="48" dataDxfId="46" headerRowBorderDxfId="47" tableBorderDxfId="45" headerRowCellStyle="Normal 3" dataCellStyle="Normal 3">
  <autoFilter ref="A10:U70" xr:uid="{50D3B306-17A3-4AC4-A227-55E23063AD18}">
    <filterColumn colId="0">
      <filters>
        <filter val="Central Quay"/>
      </filters>
    </filterColumn>
  </autoFilter>
  <tableColumns count="21">
    <tableColumn id="1" xr3:uid="{3642D88D-AFA6-432D-ACEC-4B02B3B2E3B3}" name="Site" dataDxfId="44" dataCellStyle="Normal 3"/>
    <tableColumn id="2" xr3:uid="{93E9F435-E38B-4DE4-BBAD-1E1F5A5B963A}" name="Managed" dataDxfId="43" dataCellStyle="Normal 3"/>
    <tableColumn id="3" xr3:uid="{ED9BD678-C566-4B5A-A607-88A48A90874E}" name="Office/resi" dataDxfId="42" dataCellStyle="Normal 3"/>
    <tableColumn id="4" xr3:uid="{8BC2EF93-DC25-4760-B028-1D77D1733C9B}" name="Source" dataDxfId="41" dataCellStyle="Normal 3"/>
    <tableColumn id="5" xr3:uid="{F2B40B98-F0A0-4CB9-A9A1-B492C0F46686}" name="Type" dataDxfId="40" dataCellStyle="Normal 3"/>
    <tableColumn id="6" xr3:uid="{51664769-7895-41AF-938D-9604575385FB}" name="UOM:" dataDxfId="39" dataCellStyle="Normal 3"/>
    <tableColumn id="7" xr3:uid="{E87D56AB-ABE9-41A8-B21E-2EF901F988EA}" name="Jan-24" dataDxfId="38" dataCellStyle="Normal 3"/>
    <tableColumn id="8" xr3:uid="{6DF1A7F9-9AE0-43D6-966D-C6103141C431}" name="Feb-24" dataDxfId="37" dataCellStyle="Normal 3"/>
    <tableColumn id="9" xr3:uid="{012CCF05-CCBB-4CFF-A91A-88522E23CE8A}" name="Mar-24" dataDxfId="36" dataCellStyle="Normal 3"/>
    <tableColumn id="10" xr3:uid="{99E7D725-5B70-4BEF-8DC6-3BA7B2C51C3D}" name="Apr-24" dataDxfId="35" dataCellStyle="Normal 3"/>
    <tableColumn id="11" xr3:uid="{B96338B1-6D26-4B1D-BCEE-A7A3CA5FA071}" name="May-24" dataDxfId="34" dataCellStyle="Normal 3"/>
    <tableColumn id="12" xr3:uid="{46B0BC85-B0F2-46C4-BB9B-A422C7BAEFD7}" name="Jun-24" dataDxfId="33" dataCellStyle="Normal 3"/>
    <tableColumn id="13" xr3:uid="{39656C8E-264A-4A69-BAA2-B01386B6C1E5}" name="Jul-24" dataDxfId="32" dataCellStyle="Normal 3"/>
    <tableColumn id="14" xr3:uid="{3A623833-1A73-4A95-A3F2-EB8963A790FC}" name="Aug-24" dataDxfId="31" dataCellStyle="Normal 3"/>
    <tableColumn id="15" xr3:uid="{3226FE56-8188-418C-A3D4-3493652BE67E}" name="Sep-24" dataDxfId="30" dataCellStyle="Normal 3"/>
    <tableColumn id="16" xr3:uid="{8E9E9721-0AF7-4B76-B089-29BEE5C9EA76}" name="Oct-24" dataDxfId="29" dataCellStyle="Normal 3"/>
    <tableColumn id="17" xr3:uid="{BE6B9A9A-BF1D-4BF7-BC3E-A82151EC9379}" name="Nov-24" dataDxfId="28" dataCellStyle="Normal 3"/>
    <tableColumn id="18" xr3:uid="{9E5FFCD0-BE19-4B6C-9F20-56ECF47FB5EC}" name="Dec-24" dataDxfId="27" dataCellStyle="Normal 3"/>
    <tableColumn id="19" xr3:uid="{FEF66DB7-9978-42D1-9E81-6671A02E1C9F}" name="2024 Total" dataDxfId="26" dataCellStyle="Normal 3">
      <calculatedColumnFormula>SUM(G11:R11)</calculatedColumnFormula>
    </tableColumn>
    <tableColumn id="21" xr3:uid="{835370F3-BE33-4A44-8CE4-67CFAA7A5875}" name="2023 Total" dataDxfId="25" dataCellStyle="Normal 3"/>
    <tableColumn id="20" xr3:uid="{3808AB98-8219-4697-AAD9-5409EEE6433C}" name="EUI " dataDxfId="24" dataCellStyle="Normal 3">
      <calculatedColumnFormula>(TblElec[[#This Row],[2024 Total]]+S12)/'2024 Asset list'!I8</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6A21085-DDE9-4A51-9EEA-552D4DB92D41}" name="TblWater8" displayName="TblWater8" ref="A74:T94" totalsRowShown="0" headerRowDxfId="23" dataDxfId="21" headerRowBorderDxfId="22" tableBorderDxfId="20" headerRowCellStyle="Normal 3" dataCellStyle="Normal 3">
  <autoFilter ref="A74:T94" xr:uid="{16A21085-DDE9-4A51-9EEA-552D4DB92D41}"/>
  <tableColumns count="20">
    <tableColumn id="1" xr3:uid="{A35A4937-70C8-4D16-9654-00FBB2EA2AE4}" name="Site" dataDxfId="19" dataCellStyle="Normal 3"/>
    <tableColumn id="2" xr3:uid="{5BEC8CEE-13EC-452C-A482-D540E4C1F523}" name="Managed" dataDxfId="18" dataCellStyle="Normal 3"/>
    <tableColumn id="3" xr3:uid="{06B1F411-356B-40BD-8888-D79F041B7C10}" name="Office/resi" dataDxfId="17" dataCellStyle="Normal 3"/>
    <tableColumn id="4" xr3:uid="{D58E44B8-C784-4A45-8F17-8AA6A0FB3949}" name="Source"/>
    <tableColumn id="5" xr3:uid="{075A249F-6755-4194-810B-DDBA3433B4B0}" name="Type" dataDxfId="16" dataCellStyle="Normal 3"/>
    <tableColumn id="6" xr3:uid="{690F68C4-9223-4140-BB84-77E2AA0DA783}" name="UOM:" dataDxfId="15" dataCellStyle="Normal 3"/>
    <tableColumn id="7" xr3:uid="{18C088C5-3BA2-4038-AB0D-A5EE9D578EF3}" name="Jan-24" dataDxfId="14" dataCellStyle="Normal 3"/>
    <tableColumn id="8" xr3:uid="{8F4A7ECB-AECC-406B-AF34-FC547F4E6F05}" name="Feb-24" dataDxfId="13" dataCellStyle="Normal 3"/>
    <tableColumn id="9" xr3:uid="{0EDAFE7D-F8C3-493B-92B8-7D13094026AC}" name="Mar-24" dataDxfId="12" dataCellStyle="Normal 3"/>
    <tableColumn id="10" xr3:uid="{027A2BD9-90B8-443C-8FD7-A54045447AB4}" name="Apr-24" dataDxfId="11" dataCellStyle="Normal 3"/>
    <tableColumn id="11" xr3:uid="{0D0A1A4E-53D3-46A5-AB23-E5CA80C30752}" name="May-24" dataDxfId="10" dataCellStyle="Normal 3"/>
    <tableColumn id="12" xr3:uid="{43936112-600E-486A-876B-6E1E07723326}" name="Jun-24" dataDxfId="9" dataCellStyle="Normal 3"/>
    <tableColumn id="13" xr3:uid="{AC854EC5-A7A0-4473-B1E6-5307573A22F4}" name="Jul-24" dataDxfId="8" dataCellStyle="Normal 3"/>
    <tableColumn id="14" xr3:uid="{D15C494B-45DC-4663-B3A7-581C4AA7599F}" name="Aug-24" dataDxfId="7" dataCellStyle="Normal 3"/>
    <tableColumn id="15" xr3:uid="{6BFD8A26-0174-4A71-9AAC-ACB99BE528CA}" name="Sep-24" dataDxfId="6" dataCellStyle="Normal 3"/>
    <tableColumn id="16" xr3:uid="{EC6F77D4-3CC0-4562-A92D-65B7AE56F571}" name="Oct-24" dataDxfId="5" dataCellStyle="Normal 3"/>
    <tableColumn id="17" xr3:uid="{4609F1E6-4C84-4D7E-B394-96CFA40047E5}" name="Nov-24" dataDxfId="4" dataCellStyle="Normal 3"/>
    <tableColumn id="18" xr3:uid="{08A9D453-2D3B-41EE-ACA3-4DA7A35B41B3}" name="Dec-24" dataDxfId="3" dataCellStyle="Normal 3"/>
    <tableColumn id="19" xr3:uid="{E2B70E0D-AA67-40CB-8F2C-93388FC85C22}" name="GRESB TOTAL " dataDxfId="2" dataCellStyle="Normal 3">
      <calculatedColumnFormula>SUM(TblWater8[[#This Row],[Jan-24]:[Dec-24]])</calculatedColumnFormula>
    </tableColumn>
    <tableColumn id="20" xr3:uid="{E873E519-0ECE-4A72-AE14-5DEB9D6F76A0}" name="TOTAL GRESB WATER M3" dataDxfId="1" dataCellStyle="Normal 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 dT="2024-01-11T14:11:39.84" personId="{B1F75A68-67B7-4B56-A3E0-612317DC2EAA}" id="{7D5000A7-0337-421D-8B98-8E9C27B8C409}">
    <text>Scope and Boundaries of reporting, details of reporting framework Indicator has been calculated in accordance with e.g. GHG Protocol, GRESB, INREV, CSRD &amp; Relevant ESRS ect.</text>
  </threadedComment>
  <threadedComment ref="G2" dT="2024-01-11T14:13:48.83" personId="{B1F75A68-67B7-4B56-A3E0-612317DC2EAA}" id="{2E896016-69B0-4039-A0F4-52839EDF4C2F}">
    <text xml:space="preserve">How has the indicator been calculated in practice , what is the source of data, any assumptions, exclusions and/or estimations applied to calculate reported figure. </text>
  </threadedComment>
  <threadedComment ref="H2" dT="2024-01-11T11:47:09.18" personId="{B1F75A68-67B7-4B56-A3E0-612317DC2EAA}" id="{0034F3EB-8562-4397-B37F-93F27AE05631}">
    <text xml:space="preserve">If Methodology doc available please link here - i.e. basis of reporting document, appendix of annual report etc. </text>
  </threadedComment>
  <threadedComment ref="I2" dT="2024-01-11T11:47:36.47" personId="{B1F75A68-67B7-4B56-A3E0-612317DC2EAA}" id="{D86B31B0-92BF-441C-A1F6-B162E5226CCB}">
    <text>Draft Indicator Value, Submitted to assurance for testing</text>
  </threadedComment>
  <threadedComment ref="J2" dT="2024-01-11T11:52:39.44" personId="{B1F75A68-67B7-4B56-A3E0-612317DC2EAA}" id="{8755C188-542C-456B-919C-E60F54E43CA4}">
    <text>Reported Unit (e.g. tCO2e, m3, kWh/m2 ect)</text>
  </threadedComment>
  <threadedComment ref="K2" dT="2024-01-12T17:03:28.39" personId="{B1F75A68-67B7-4B56-A3E0-612317DC2EAA}" id="{DFB5B760-C1CC-4903-A26C-6F59290873AC}">
    <text>Expected date for draft KPI to be shared with assurance team for review</text>
  </threadedComment>
  <threadedComment ref="L2" dT="2024-01-11T11:48:16.97" personId="{B1F75A68-67B7-4B56-A3E0-612317DC2EAA}" id="{BFA6057B-49A8-4B6D-92FD-C28829099800}">
    <text>Link to relevant worksheet used to calculate indicator being tested</text>
  </threadedComment>
  <threadedComment ref="M2" dT="2024-01-11T11:58:16.51" personId="{B1F75A68-67B7-4B56-A3E0-612317DC2EAA}" id="{15E2836F-04B4-489B-A7A1-D606370B6AEA}">
    <text>To be completed by JLL - suggested evidence required to verify reported value. To be agreed with Hibernia.</text>
  </threadedComment>
  <threadedComment ref="I28" dT="2025-05-07T20:12:20.19" personId="{4ABCC342-8188-427C-876C-2D716452ED7B}" id="{8934E8B4-854C-493A-B4B8-29A9E1EF796B}">
    <text>@Louise Puplett Query from JLL - How do we know if staff are full/part time - has the salary already been normalised?</text>
    <mentions>
      <mention mentionpersonId="{AF9E4225-AA20-494F-A550-0E5F676E426F}" mentionId="{AC00C60B-C5FA-4A52-91B8-95F583DD49E0}" startIndex="0" length="15"/>
    </mentions>
  </threadedComment>
  <threadedComment ref="I28" dT="2025-05-08T08:47:44.39" personId="{5E9C84F4-A7F4-418B-93C9-BF8A6DFD4B6D}" id="{FAD9FF3D-65BE-47B9-9A74-178C26CC9280}" parentId="{8934E8B4-854C-493A-B4B8-29A9E1EF796B}">
    <text xml:space="preserve">The salaries have already been normalised </text>
  </threadedComment>
  <threadedComment ref="I29" dT="2025-05-07T20:12:44.74" personId="{4ABCC342-8188-427C-876C-2D716452ED7B}" id="{CB1ABC6E-D02F-4121-B589-CC965E39D786}">
    <text xml:space="preserve"> @Louise Puplett  Query from JLL - How do we know if staff are full/part time - has the salary already been normalised?</text>
    <mentions>
      <mention mentionpersonId="{AF9E4225-AA20-494F-A550-0E5F676E426F}" mentionId="{B447D7CB-4A16-4E58-9251-8FA7E188C3EC}" startIndex="1" length="15"/>
    </mentions>
  </threadedComment>
  <threadedComment ref="I29" dT="2025-05-08T08:52:07.67" personId="{5E9C84F4-A7F4-418B-93C9-BF8A6DFD4B6D}" id="{78FC4F1E-3DD1-4F77-BF69-48F16FB80EF1}" parentId="{CB1ABC6E-D02F-4121-B589-CC965E39D786}">
    <text>Salaries have already been normalised</text>
  </threadedComment>
  <threadedComment ref="I50" dT="2025-05-07T20:15:49.77" personId="{4ABCC342-8188-427C-876C-2D716452ED7B}" id="{21C15761-424B-434A-9110-43A25E25E2AC}">
    <text xml:space="preserve">@Louise Puplett This KPI should exclude new hires during the reporting year in the nominator and denominator. Can you please amend calculation to account for this. </text>
    <mentions>
      <mention mentionpersonId="{AF9E4225-AA20-494F-A550-0E5F676E426F}" mentionId="{5AB73740-C78B-482E-9B7F-96EBB7DCB9CA}" startIndex="0" length="15"/>
    </mentions>
  </threadedComment>
  <threadedComment ref="I50" dT="2025-05-08T09:07:41.86" personId="{5E9C84F4-A7F4-418B-93C9-BF8A6DFD4B6D}" id="{0832A4AE-9F9D-4091-B264-DB5DF21D15F3}" parentId="{21C15761-424B-434A-9110-43A25E25E2AC}">
    <text>This KPI now has the new hires removed</text>
  </threadedComment>
  <threadedComment ref="I51" dT="2025-05-07T20:18:21.52" personId="{4ABCC342-8188-427C-876C-2D716452ED7B}" id="{93902D0E-BA8A-4178-9CD7-B8C9A46F6A29}">
    <text xml:space="preserve">@Louise Puplett Query from JLL, can you please check. It looks as though one of the new employees has been missed out of the total count. Please update if required. </text>
    <mentions>
      <mention mentionpersonId="{AF9E4225-AA20-494F-A550-0E5F676E426F}" mentionId="{A010F6D9-9D26-4A2B-87CD-2112A87901B3}" startIndex="0" length="15"/>
    </mentions>
  </threadedComment>
  <threadedComment ref="I51" dT="2025-05-08T09:31:52.44" personId="{5E9C84F4-A7F4-418B-93C9-BF8A6DFD4B6D}" id="{8A813EA8-4946-41F8-9261-109D2F64FB5C}" parentId="{93902D0E-BA8A-4178-9CD7-B8C9A46F6A29}">
    <text>There was an error in the rate calculation.  This is now corrected.</text>
  </threadedComment>
  <threadedComment ref="I54" dT="2025-05-07T20:19:55.65" personId="{4ABCC342-8188-427C-876C-2D716452ED7B}" id="{5EE3EBCB-CADE-449C-93BD-6C290AE48119}">
    <text xml:space="preserve">@Louise Puplett Query from JLL. Can you please check? It looks as though one of the new employees has been missed out of the total count. Please update if required. </text>
    <mentions>
      <mention mentionpersonId="{AF9E4225-AA20-494F-A550-0E5F676E426F}" mentionId="{423FEB23-A2AC-4422-AB8A-1F5A424E8AB7}" startIndex="0" length="15"/>
    </mentions>
  </threadedComment>
  <threadedComment ref="I54" dT="2025-05-08T09:32:28.12" personId="{5E9C84F4-A7F4-418B-93C9-BF8A6DFD4B6D}" id="{5A82AA6A-520D-484F-9E69-020BDB1C6789}" parentId="{5EE3EBCB-CADE-449C-93BD-6C290AE48119}">
    <text>There was an error in the rate calculation.  That is now corrected.</text>
  </threadedComment>
  <threadedComment ref="I57" dT="2025-05-07T20:20:55.98" personId="{4ABCC342-8188-427C-876C-2D716452ED7B}" id="{A24D6B9B-A2E0-4C53-8046-E35B1943CC18}">
    <text xml:space="preserve">
@Louise Puplett Please can you provide a screenshot of the system where this is reported and place in Evidence folder - see email sent separately for link. </text>
    <mentions>
      <mention mentionpersonId="{AF9E4225-AA20-494F-A550-0E5F676E426F}" mentionId="{FD370A4F-B8D2-44E8-86E6-A469901470A7}" startIndex="1" length="15"/>
    </mentions>
  </threadedComment>
  <threadedComment ref="I63" dT="2025-05-07T20:23:18.45" personId="{4ABCC342-8188-427C-876C-2D716452ED7B}" id="{6221270C-35C4-49ED-8CB9-A3E3E8C87610}">
    <text>@Louise Puplett can you please provide employee survey results and place in evidence folder.</text>
    <mentions>
      <mention mentionpersonId="{AF9E4225-AA20-494F-A550-0E5F676E426F}" mentionId="{7EED157E-C5DA-473E-AE13-E604E9E4B6A5}" startIndex="0" length="15"/>
    </mentions>
  </threadedComment>
  <threadedComment ref="I67" dT="2025-05-07T20:35:33.56" personId="{4ABCC342-8188-427C-876C-2D716452ED7B}" id="{2B35F00F-D441-48AD-825B-976C3520E52F}">
    <text xml:space="preserve">@Louise Puplett Please provide an export from the system with hours of training per topic. </text>
    <mentions>
      <mention mentionpersonId="{AF9E4225-AA20-494F-A550-0E5F676E426F}" mentionId="{C6CCD728-B7DF-4ED8-8341-6196922D5173}" startIndex="0" length="15"/>
    </mentions>
  </threadedComment>
  <threadedComment ref="I67" dT="2025-05-08T09:50:11.25" personId="{5E9C84F4-A7F4-418B-93C9-BF8A6DFD4B6D}" id="{432C3C32-3AF3-4CF7-82DF-685D8130F948}" parentId="{2B35F00F-D441-48AD-825B-976C3520E52F}">
    <text>Evidence provided</text>
  </threadedComment>
  <threadedComment ref="I69" dT="2025-05-07T20:35:53.47" personId="{4ABCC342-8188-427C-876C-2D716452ED7B}" id="{805F00D5-37CC-4A6D-A405-4FECC96263E5}">
    <text xml:space="preserve">@Louise Puplett Please provide an export from the system with hours of training per topic. </text>
    <mentions>
      <mention mentionpersonId="{AF9E4225-AA20-494F-A550-0E5F676E426F}" mentionId="{54CD4949-1AA7-441E-AF29-91A3B730D73C}" startIndex="0" length="15"/>
    </mentions>
  </threadedComment>
  <threadedComment ref="I69" dT="2025-05-08T09:49:47.25" personId="{5E9C84F4-A7F4-418B-93C9-BF8A6DFD4B6D}" id="{EDA447D9-8314-4450-AC1E-8819D835A86E}" parentId="{805F00D5-37CC-4A6D-A405-4FECC96263E5}">
    <text>Evidence provided</text>
  </threadedComment>
  <threadedComment ref="I69" dT="2025-05-08T11:32:44.16" personId="{4ABCC342-8188-427C-876C-2D716452ED7B}" id="{F224C8BA-2AFE-4ED2-90C8-AC95AF0B30AA}" parentId="{805F00D5-37CC-4A6D-A405-4FECC96263E5}">
    <text>@Louise Puplett  can you please let me know where you saved the evidence for all of these KPIs as I cannot see them in the folder I shared with you? Thanks. Neil</text>
    <mentions>
      <mention mentionpersonId="{AF9E4225-AA20-494F-A550-0E5F676E426F}" mentionId="{64F0C3E0-0383-4740-95FA-831CA4692A9D}" startIndex="0" length="15"/>
    </mentions>
  </threadedComment>
  <threadedComment ref="I76" dT="2025-05-07T20:38:01.44" personId="{4ABCC342-8188-427C-876C-2D716452ED7B}" id="{AE622491-9E43-4EB7-9759-134707DBF878}">
    <text xml:space="preserve">@Louise Puplett Please provide evidence e.g., an export from a system where volunteer hours are logged and the calculation methodology.  </text>
    <mentions>
      <mention mentionpersonId="{AF9E4225-AA20-494F-A550-0E5F676E426F}" mentionId="{E77B3FCD-5943-487B-869F-CA85D42634CA}" startIndex="0" length="15"/>
    </mentions>
  </threadedComment>
  <threadedComment ref="I77" dT="2025-05-07T20:53:29.05" personId="{4ABCC342-8188-427C-876C-2D716452ED7B}" id="{207A3313-01A8-44A0-A935-E8F7B7E6903D}">
    <text>@Hannah O' Keeffe can you please provide here the number of student placements from 2024 - TY students only I think. As evidence can we get an email or documents that includes the names of the students who took part?</text>
    <mentions>
      <mention mentionpersonId="{83FC294B-7BB7-456D-AAEA-D36D103BF709}" mentionId="{D70D711A-04BE-4653-8FC9-F79CCE525521}" startIndex="0" length="17"/>
    </mentions>
  </threadedComment>
  <threadedComment ref="I77" dT="2025-05-08T11:15:40.78" personId="{F073DC26-2CA4-4FC9-A8A4-388B9FDD4F4E}" id="{DEA18D36-476E-4C97-8EF5-CFCAEAB14271}" parentId="{207A3313-01A8-44A0-A935-E8F7B7E6903D}">
    <text>@Neil Menzies  - we had 2 students from CBS and one student with the development team during 2024 - I will upload some evidence docs</text>
    <mentions>
      <mention mentionpersonId="{2825972E-8290-4BD3-B241-F47A71BCBFD3}" mentionId="{5061590A-DF02-4A5D-98FD-27F26FEC6B06}" startIndex="0" length="13"/>
    </mentions>
  </threadedComment>
  <threadedComment ref="I77" dT="2025-05-08T11:24:53.55" personId="{4ABCC342-8188-427C-876C-2D716452ED7B}" id="{84B74B06-0E14-45DA-9306-3F0E7C3CB8B1}" parentId="{207A3313-01A8-44A0-A935-E8F7B7E6903D}">
    <text xml:space="preserve">@Hannah O' Keeffe great, thank you. </text>
    <mentions>
      <mention mentionpersonId="{83FC294B-7BB7-456D-AAEA-D36D103BF709}" mentionId="{069AA627-AD00-497D-8FDA-F5B022386340}" startIndex="0" length="17"/>
    </mentions>
  </threadedComment>
</ThreadedComments>
</file>

<file path=xl/threadedComments/threadedComment10.xml><?xml version="1.0" encoding="utf-8"?>
<ThreadedComments xmlns="http://schemas.microsoft.com/office/spreadsheetml/2018/threadedcomments" xmlns:x="http://schemas.openxmlformats.org/spreadsheetml/2006/main">
  <threadedComment ref="D1" dT="2024-06-13T14:48:04.66" personId="{4ABCC342-8188-427C-876C-2D716452ED7B}" id="{B0FE6FF3-4FCA-47D7-9679-0165DB056051}">
    <text xml:space="preserve">BER upgrade: BMS upgrade, Variable speed pumps, LED lighting, CO2 sensors, fan wall - AHU reduction, </text>
  </threadedComment>
  <threadedComment ref="D3" dT="2024-06-13T15:49:17.67" personId="{4ABCC342-8188-427C-876C-2D716452ED7B}" id="{5642B626-0D54-4ADD-B40B-344293F0505D}">
    <text xml:space="preserve">Estimated 30% reduction versus 2019 Landlord energy usage due to BER improvements and other measures. </text>
  </threadedComment>
</ThreadedComments>
</file>

<file path=xl/threadedComments/threadedComment11.xml><?xml version="1.0" encoding="utf-8"?>
<ThreadedComments xmlns="http://schemas.microsoft.com/office/spreadsheetml/2018/threadedcomments" xmlns:x="http://schemas.openxmlformats.org/spreadsheetml/2006/main">
  <threadedComment ref="K149" dT="2025-04-11T15:59:59.23" personId="{4ABCC342-8188-427C-876C-2D716452ED7B}" id="{2988EF22-9D6A-4A57-A1A1-3B48DE8A7C0C}">
    <text xml:space="preserve">@Hannah O' Keeffe  can you remember what definition of primary versus secondary is here in these 2 columns? I thought primary was location based and secondary was market based but that doesn’t seem to be the case. Secondary matches the Scope 2 emissions for location based in ilevel.
</text>
    <mentions>
      <mention mentionpersonId="{83FC294B-7BB7-456D-AAEA-D36D103BF709}" mentionId="{15139BF8-ACD8-4421-A134-C5EE79336E8D}" startIndex="0" length="17"/>
    </mentions>
  </threadedComment>
  <threadedComment ref="K149" dT="2025-04-11T16:27:04.06" personId="{F073DC26-2CA4-4FC9-A8A4-388B9FDD4F4E}" id="{9378DBD3-3911-4237-B527-F13FDB8F8B36}" parentId="{2988EF22-9D6A-4A57-A1A1-3B48DE8A7C0C}">
    <text xml:space="preserve">No secondary is location based and secondary is market - see column C row 8 </text>
  </threadedComment>
  <threadedComment ref="K149" dT="2025-04-14T06:33:54.70" personId="{4ABCC342-8188-427C-876C-2D716452ED7B}" id="{27999B78-61A0-4951-9748-E65A9BC5799E}" parentId="{2988EF22-9D6A-4A57-A1A1-3B48DE8A7C0C}">
    <text>@Hannah O' Keeffe great - thanks for confirming</text>
    <mentions>
      <mention mentionpersonId="{83FC294B-7BB7-456D-AAEA-D36D103BF709}" mentionId="{166F218A-2C32-4920-A538-ECA9C4C8E7A0}" startIndex="0" length="1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Z4" dT="2025-06-25T11:13:12.11" personId="{4ABCC342-8188-427C-876C-2D716452ED7B}" id="{FD7AF807-8CBC-4F0F-A66C-A39CA6E23578}">
    <text xml:space="preserve">@Louise Puplett </text>
    <mentions>
      <mention mentionpersonId="{AF9E4225-AA20-494F-A550-0E5F676E426F}" mentionId="{6DA9CD7A-AC5B-4962-A342-A9AE2ECF0959}" startIndex="0" length="15"/>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G2" dT="2025-04-15T15:00:36.63" personId="{4ABCC342-8188-427C-876C-2D716452ED7B}" id="{03CC072F-1BFC-4F94-BE0D-011F830BBA96}">
    <text xml:space="preserve">Using GRESB recommended ratio for common areas to net lettable. 
</text>
  </threadedComment>
  <threadedComment ref="M2" dT="2025-04-07T08:09:33.48" personId="{4ABCC342-8188-427C-876C-2D716452ED7B}" id="{FBC601C3-D7BD-4548-9AE2-7EF5DA3B7D67}">
    <text>Taken from Dec Valuations Report prepared by Michael. Rounded valuation on page 5</text>
  </threadedComment>
</ThreadedComments>
</file>

<file path=xl/threadedComments/threadedComment4.xml><?xml version="1.0" encoding="utf-8"?>
<ThreadedComments xmlns="http://schemas.microsoft.com/office/spreadsheetml/2018/threadedcomments" xmlns:x="http://schemas.openxmlformats.org/spreadsheetml/2006/main">
  <threadedComment ref="K11" dT="2025-04-11T15:59:59.23" personId="{4ABCC342-8188-427C-876C-2D716452ED7B}" id="{4363EE0C-8000-49A0-95C4-E8B308060AE3}">
    <text xml:space="preserve">@Hannah O' Keeffe  can you remember what definition of primary versus secondary is here in these 2 columns? I thought primary was location based and secondary was market based but that doesn’t seem to be the case. Secondary matches the Scope 2 emissions for location based in ilevel.
</text>
    <mentions>
      <mention mentionpersonId="{83FC294B-7BB7-456D-AAEA-D36D103BF709}" mentionId="{529B82BC-83F7-4445-9532-72F45D5F7AC2}" startIndex="0" length="17"/>
    </mentions>
  </threadedComment>
  <threadedComment ref="K11" dT="2025-04-11T16:27:04.06" personId="{F073DC26-2CA4-4FC9-A8A4-388B9FDD4F4E}" id="{4BD41C8B-7AEA-4B07-8FA6-D9B3E613A7D0}" parentId="{4363EE0C-8000-49A0-95C4-E8B308060AE3}">
    <text xml:space="preserve">No secondary is location based and secondary is market - see column C row 8 </text>
  </threadedComment>
  <threadedComment ref="K11" dT="2025-04-14T06:33:54.70" personId="{4ABCC342-8188-427C-876C-2D716452ED7B}" id="{7430DDEE-5A39-4D0C-AE1F-872706CC6F42}" parentId="{4363EE0C-8000-49A0-95C4-E8B308060AE3}">
    <text>@Hannah O' Keeffe great - thanks for confirming</text>
    <mentions>
      <mention mentionpersonId="{83FC294B-7BB7-456D-AAEA-D36D103BF709}" mentionId="{F8C61B8D-10D7-42A2-9853-D4983B2B222F}" startIndex="0" length="17"/>
    </mentions>
  </threadedComment>
  <threadedComment ref="H23" dT="2025-05-20T10:12:32.57" personId="{F073DC26-2CA4-4FC9-A8A4-388B9FDD4F4E}" id="{C2657483-97B0-4EAB-BC2A-4EF589309CC8}">
    <text xml:space="preserve">Usage updated as April 2024 error due to coolplanet-ziggy tec meter issue </text>
  </threadedComment>
  <threadedComment ref="K23" dT="2025-05-20T10:12:45.55" personId="{F073DC26-2CA4-4FC9-A8A4-388B9FDD4F4E}" id="{FEAD7D26-92A4-4D58-A0BF-A2FB4AD4D312}">
    <text xml:space="preserve">Emissions updated as April 2024 error due to coolplanet-ziggy tec meter issue </text>
  </threadedComment>
  <threadedComment ref="L23" dT="2025-05-20T10:12:52.13" personId="{F073DC26-2CA4-4FC9-A8A4-388B9FDD4F4E}" id="{AD49186C-1840-4C6C-AFEE-0347CD71A170}">
    <text xml:space="preserve">Usage updated as April 2024 error due to coolplanet-ziggy tec meter issue </text>
  </threadedComment>
  <threadedComment ref="H126" dT="2025-05-20T11:36:21.83" personId="{F073DC26-2CA4-4FC9-A8A4-388B9FDD4F4E}" id="{98BB697A-431C-4E1F-B679-9D2A91C1CFD5}">
    <text xml:space="preserve">Consumption data updated as error in data upload to RA </text>
  </threadedComment>
  <threadedComment ref="H132" dT="2025-05-20T11:36:09.62" personId="{F073DC26-2CA4-4FC9-A8A4-388B9FDD4F4E}" id="{881811A2-BD59-4720-8AAC-F238822B819D}">
    <text xml:space="preserve">Consumption data updated as error in data upload to RA </text>
  </threadedComment>
  <threadedComment ref="K132" dT="2025-05-20T11:35:36.58" personId="{F073DC26-2CA4-4FC9-A8A4-388B9FDD4F4E}" id="{CE29D746-04C4-4DC7-8A2F-A7B78434F672}">
    <text>Emissions updated as consumption data updated due to error in upload to RA</text>
  </threadedComment>
  <threadedComment ref="L132" dT="2025-05-20T11:35:47.19" personId="{F073DC26-2CA4-4FC9-A8A4-388B9FDD4F4E}" id="{306F4DAE-9166-416D-9037-6584DCC7A69F}">
    <text>Emissions updated as consumption data updated due to error in upload to RA</text>
  </threadedComment>
  <threadedComment ref="H133" dT="2025-05-20T11:36:16.19" personId="{F073DC26-2CA4-4FC9-A8A4-388B9FDD4F4E}" id="{D25FDEB1-2C6D-4E5F-B534-1456DEF0D9E8}">
    <text xml:space="preserve">Consumption data updated as error in data upload to RA </text>
  </threadedComment>
</ThreadedComments>
</file>

<file path=xl/threadedComments/threadedComment5.xml><?xml version="1.0" encoding="utf-8"?>
<ThreadedComments xmlns="http://schemas.microsoft.com/office/spreadsheetml/2018/threadedcomments" xmlns:x="http://schemas.openxmlformats.org/spreadsheetml/2006/main">
  <threadedComment ref="C9" dT="2026-06-17T14:22:13.08" personId="{F073DC26-2CA4-4FC9-A8A4-388B9FDD4F4E}" id="{835B5CED-03BE-4E2D-93B3-21E0E79FF3D4}">
    <text>17.06 UPDATED WITH PINERGY ACTUAL DATA FOR FULL YEAR</text>
  </threadedComment>
</ThreadedComments>
</file>

<file path=xl/threadedComments/threadedComment6.xml><?xml version="1.0" encoding="utf-8"?>
<ThreadedComments xmlns="http://schemas.microsoft.com/office/spreadsheetml/2018/threadedcomments" xmlns:x="http://schemas.openxmlformats.org/spreadsheetml/2006/main">
  <threadedComment ref="J13" dT="2025-05-20T10:06:51.74" personId="{F073DC26-2CA4-4FC9-A8A4-388B9FDD4F4E}" id="{096F3CEC-F6C5-4B24-8CA7-D3EC58EA20F3}">
    <text xml:space="preserve">2WML April 2024 gas value updated to 4817.5479 kWh as error with coolplanet figure due to ziggy tec error </text>
  </threadedComment>
</ThreadedComments>
</file>

<file path=xl/threadedComments/threadedComment7.xml><?xml version="1.0" encoding="utf-8"?>
<ThreadedComments xmlns="http://schemas.microsoft.com/office/spreadsheetml/2018/threadedcomments" xmlns:x="http://schemas.openxmlformats.org/spreadsheetml/2006/main">
  <threadedComment ref="AE1" dT="2025-04-15T15:00:36.63" personId="{4ABCC342-8188-427C-876C-2D716452ED7B}" id="{010484B6-D22A-4076-90CC-8627FFD0EE80}">
    <text xml:space="preserve">Using GRESB recommended ratio for common areas to net lettable. 
</text>
  </threadedComment>
</ThreadedComments>
</file>

<file path=xl/threadedComments/threadedComment8.xml><?xml version="1.0" encoding="utf-8"?>
<ThreadedComments xmlns="http://schemas.microsoft.com/office/spreadsheetml/2018/threadedcomments" xmlns:x="http://schemas.openxmlformats.org/spreadsheetml/2006/main">
  <threadedComment ref="B16" dT="2026-04-27T13:14:41.73" personId="{4ABCC342-8188-427C-876C-2D716452ED7B}" id="{79F81F05-B2DD-4BB1-B09E-F95B17D58460}">
    <text xml:space="preserve">Includes offices, resi and Thorncastle
</text>
  </threadedComment>
  <threadedComment ref="K16" dT="2026-04-27T13:14:41.73" personId="{4ABCC342-8188-427C-876C-2D716452ED7B}" id="{C7803754-0B45-4916-962B-C85CD151254F}">
    <text xml:space="preserve">Includes offices, resi and Thorncastle
</text>
  </threadedComment>
</ThreadedComments>
</file>

<file path=xl/threadedComments/threadedComment9.xml><?xml version="1.0" encoding="utf-8"?>
<ThreadedComments xmlns="http://schemas.microsoft.com/office/spreadsheetml/2018/threadedcomments" xmlns:x="http://schemas.openxmlformats.org/spreadsheetml/2006/main">
  <threadedComment ref="J2" dT="2026-04-27T13:17:20.93" personId="{4ABCC342-8188-427C-876C-2D716452ED7B}" id="{71C99ED9-F85A-447A-9236-683DFD4DCED5}">
    <text xml:space="preserve">Data provided by Shuaib on 130426
</text>
  </threadedComment>
  <threadedComment ref="K2" dT="2025-04-07T08:09:33.48" personId="{4ABCC342-8188-427C-876C-2D716452ED7B}" id="{D6AE7D72-F282-4E1A-96CB-13C1543C6887}">
    <text>Taken from Dec Valuations Report - emailed through by James 150426</text>
  </threadedComment>
  <threadedComment ref="B17" dT="2026-04-27T13:14:41.73" personId="{4ABCC342-8188-427C-876C-2D716452ED7B}" id="{7D139B14-81E0-4300-86A8-4484E8B03A19}">
    <text xml:space="preserve">Includes offices, resi and Thorncastle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0152611-774E-482E-8B7E-8650F9083B6E}">
  <we:reference id="WA200010725" version="1.0.0.1" store="en-gb" storeType="omex"/>
  <we:alternateReferences>
    <we:reference id="WA200010725" version="1.0.0.1" store="en-gb" storeType="omex"/>
  </we:alternateReferences>
  <we:properties>
    <we:property name="claude.fileId" value="&quot;b6ecbe14-bbcd-4d0e-af46-a930cc11b63f&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3" Type="http://schemas.openxmlformats.org/officeDocument/2006/relationships/hyperlink" Target="https://www.globalreporting.org/standards/media/1006/gri-205-anti-corruption-2016.pdf" TargetMode="External"/><Relationship Id="rId18" Type="http://schemas.openxmlformats.org/officeDocument/2006/relationships/hyperlink" Target="https://www.globalreporting.org/standards/media/1012/gri-305-emissions-2016.pdf" TargetMode="External"/><Relationship Id="rId26" Type="http://schemas.openxmlformats.org/officeDocument/2006/relationships/hyperlink" Target="https://www.globalreporting.org/standards/media/1009/gri-302-energy-2016.pdf" TargetMode="External"/><Relationship Id="rId39" Type="http://schemas.openxmlformats.org/officeDocument/2006/relationships/hyperlink" Target="https://www.globalreporting.org/standards/media/2573/gri-306-waste-2020.pdf" TargetMode="External"/><Relationship Id="rId21" Type="http://schemas.openxmlformats.org/officeDocument/2006/relationships/hyperlink" Target="https://www.globalreporting.org/standards/media/1012/gri-305-emissions-2016.pdf" TargetMode="External"/><Relationship Id="rId34" Type="http://schemas.openxmlformats.org/officeDocument/2006/relationships/hyperlink" Target="https://www.globalreporting.org/standards/media/1009/gri-302-energy-2016.pdf" TargetMode="External"/><Relationship Id="rId42" Type="http://schemas.openxmlformats.org/officeDocument/2006/relationships/hyperlink" Target="https://assets.bbhub.io/company/sites/60/2021/07/2021-TCFD-Implementing_Guidance.pdf" TargetMode="External"/><Relationship Id="rId47" Type="http://schemas.microsoft.com/office/2019/04/relationships/documenttask" Target="../documenttasks/documenttask1.xml"/><Relationship Id="rId7" Type="http://schemas.openxmlformats.org/officeDocument/2006/relationships/hyperlink" Target="https://www.globalreporting.org/standards/media/1019/gri-404-training-and-education-2016.pdf" TargetMode="External"/><Relationship Id="rId2" Type="http://schemas.openxmlformats.org/officeDocument/2006/relationships/hyperlink" Target="https://www.globalreporting.org/standards/media/1020/gri-405-diversity-and-equal-opportunity-2016.pdf" TargetMode="External"/><Relationship Id="rId16" Type="http://schemas.openxmlformats.org/officeDocument/2006/relationships/hyperlink" Target="https://www.globalreporting.org/standards/media/1028/gri-413-local-communities-2016.pdf" TargetMode="External"/><Relationship Id="rId29" Type="http://schemas.openxmlformats.org/officeDocument/2006/relationships/hyperlink" Target="https://www.globalreporting.org/standards/media/2573/gri-306-waste-2020.pdf" TargetMode="External"/><Relationship Id="rId1" Type="http://schemas.openxmlformats.org/officeDocument/2006/relationships/hyperlink" Target="https://www.globalreporting.org/standards/media/1006/gri-205-anti-corruption-2016.pdf" TargetMode="External"/><Relationship Id="rId6" Type="http://schemas.openxmlformats.org/officeDocument/2006/relationships/hyperlink" Target="https://www.globalreporting.org/standards/media/1016/gri-401-employment-2016.pdf" TargetMode="External"/><Relationship Id="rId11" Type="http://schemas.openxmlformats.org/officeDocument/2006/relationships/hyperlink" Target="https://www.globalreporting.org/standards/media/1910/gri-403-occupational-health-and-safety-2018.pdf" TargetMode="External"/><Relationship Id="rId24" Type="http://schemas.openxmlformats.org/officeDocument/2006/relationships/hyperlink" Target="https://www.globalreporting.org/standards/media/1012/gri-305-emissions-2016.pdf" TargetMode="External"/><Relationship Id="rId32" Type="http://schemas.openxmlformats.org/officeDocument/2006/relationships/hyperlink" Target="https://www.globalreporting.org/standards/media/1009/gri-302-energy-2016.pdf" TargetMode="External"/><Relationship Id="rId37" Type="http://schemas.openxmlformats.org/officeDocument/2006/relationships/hyperlink" Target="file:///C:\:x:\g\sustain\Ee3ogcd7E3dEh8nGKXoztrIBDzU0m_5c-G8xB8r29wYuVQ%3fe=fkvbkc&amp;nav=MTVfezlFOTI3OTA4LTg0OTEtNEE2Qy05NkYyLTZDOUYyOEJCMUVGQX0" TargetMode="External"/><Relationship Id="rId40" Type="http://schemas.openxmlformats.org/officeDocument/2006/relationships/hyperlink" Target="https://assets.bbhub.io/company/sites/60/2021/07/2021-TCFD-Implementing_Guidance.pdf" TargetMode="External"/><Relationship Id="rId45" Type="http://schemas.openxmlformats.org/officeDocument/2006/relationships/comments" Target="../comments1.xml"/><Relationship Id="rId5" Type="http://schemas.openxmlformats.org/officeDocument/2006/relationships/hyperlink" Target="https://www.globalreporting.org/standards/media/1016/gri-401-employment-2016.pdf" TargetMode="External"/><Relationship Id="rId15" Type="http://schemas.openxmlformats.org/officeDocument/2006/relationships/hyperlink" Target="https://www.globalreporting.org/standards/media/1016/gri-401-employment-2016.pdf" TargetMode="External"/><Relationship Id="rId23" Type="http://schemas.openxmlformats.org/officeDocument/2006/relationships/hyperlink" Target="https://www.globalreporting.org/standards/media/1012/gri-305-emissions-2016.pdf" TargetMode="External"/><Relationship Id="rId28" Type="http://schemas.openxmlformats.org/officeDocument/2006/relationships/hyperlink" Target="https://www.globalreporting.org/standards/media/1909/gri-303-water-and-effluents-2018.pdf" TargetMode="External"/><Relationship Id="rId36" Type="http://schemas.openxmlformats.org/officeDocument/2006/relationships/hyperlink" Target="https://www.globalreporting.org/standards/media/1012/gri-305-emissions-2016.pdf" TargetMode="External"/><Relationship Id="rId10" Type="http://schemas.openxmlformats.org/officeDocument/2006/relationships/hyperlink" Target="https://www.globalreporting.org/standards/media/1910/gri-403-occupational-health-and-safety-2018.pdf" TargetMode="External"/><Relationship Id="rId19" Type="http://schemas.openxmlformats.org/officeDocument/2006/relationships/hyperlink" Target="https://www.globalreporting.org/standards/media/1012/gri-305-emissions-2016.pdf" TargetMode="External"/><Relationship Id="rId31" Type="http://schemas.openxmlformats.org/officeDocument/2006/relationships/hyperlink" Target="https://www.globalreporting.org/standards/media/1009/gri-302-energy-2016.pdf" TargetMode="External"/><Relationship Id="rId44" Type="http://schemas.openxmlformats.org/officeDocument/2006/relationships/vmlDrawing" Target="../drawings/vmlDrawing1.vml"/><Relationship Id="rId4" Type="http://schemas.openxmlformats.org/officeDocument/2006/relationships/hyperlink" Target="https://www.globalreporting.org/standards/media/1020/gri-405-diversity-and-equal-opportunity-2016.pdf" TargetMode="External"/><Relationship Id="rId9" Type="http://schemas.openxmlformats.org/officeDocument/2006/relationships/hyperlink" Target="https://www.globalreporting.org/standards/media/1910/gri-403-occupational-health-and-safety-2018.pdf" TargetMode="External"/><Relationship Id="rId14" Type="http://schemas.openxmlformats.org/officeDocument/2006/relationships/hyperlink" Target="https://www.globalreporting.org/standards/media/1020/gri-405-diversity-and-equal-opportunity-2016.pdf" TargetMode="External"/><Relationship Id="rId22" Type="http://schemas.openxmlformats.org/officeDocument/2006/relationships/hyperlink" Target="https://www.globalreporting.org/standards/media/1012/gri-305-emissions-2016.pdf" TargetMode="External"/><Relationship Id="rId27" Type="http://schemas.openxmlformats.org/officeDocument/2006/relationships/hyperlink" Target="https://www.globalreporting.org/standards/media/1009/gri-302-energy-2016.pdf" TargetMode="External"/><Relationship Id="rId30" Type="http://schemas.openxmlformats.org/officeDocument/2006/relationships/hyperlink" Target="https://assets.bbhub.io/company/sites/60/2021/07/2021-TCFD-Implementing_Guidance.pdf" TargetMode="External"/><Relationship Id="rId35" Type="http://schemas.openxmlformats.org/officeDocument/2006/relationships/hyperlink" Target="https://www.globalreporting.org/standards/media/1012/gri-305-emissions-2016.pdf" TargetMode="External"/><Relationship Id="rId43" Type="http://schemas.openxmlformats.org/officeDocument/2006/relationships/hyperlink" Target="https://www.globalreporting.org/standards/media/1012/gri-305-emissions-2016.pdf" TargetMode="External"/><Relationship Id="rId8" Type="http://schemas.openxmlformats.org/officeDocument/2006/relationships/hyperlink" Target="https://www.globalreporting.org/standards/media/1019/gri-404-training-and-education-2016.pdf" TargetMode="External"/><Relationship Id="rId3" Type="http://schemas.openxmlformats.org/officeDocument/2006/relationships/hyperlink" Target="https://www.globalreporting.org/standards/media/1020/gri-405-diversity-and-equal-opportunity-2016.pdf" TargetMode="External"/><Relationship Id="rId12" Type="http://schemas.openxmlformats.org/officeDocument/2006/relationships/hyperlink" Target="https://www.globalreporting.org/standards/media/1910/gri-403-occupational-health-and-safety-2018.pdf" TargetMode="External"/><Relationship Id="rId17" Type="http://schemas.openxmlformats.org/officeDocument/2006/relationships/hyperlink" Target="https://www.globalreporting.org/standards/media/1012/gri-305-emissions-2016.pdf" TargetMode="External"/><Relationship Id="rId25" Type="http://schemas.openxmlformats.org/officeDocument/2006/relationships/hyperlink" Target="https://www.globalreporting.org/standards/media/1012/gri-305-emissions-2016.pdf" TargetMode="External"/><Relationship Id="rId33" Type="http://schemas.openxmlformats.org/officeDocument/2006/relationships/hyperlink" Target="https://www.globalreporting.org/standards/media/1009/gri-302-energy-2016.pdf" TargetMode="External"/><Relationship Id="rId38" Type="http://schemas.openxmlformats.org/officeDocument/2006/relationships/hyperlink" Target="https://www.globalreporting.org/standards/media/1909/gri-303-water-and-effluents-2018.pdf" TargetMode="External"/><Relationship Id="rId46" Type="http://schemas.microsoft.com/office/2017/10/relationships/threadedComment" Target="../threadedComments/threadedComment1.xml"/><Relationship Id="rId20" Type="http://schemas.openxmlformats.org/officeDocument/2006/relationships/hyperlink" Target="https://www.globalreporting.org/standards/media/1012/gri-305-emissions-2016.pdf" TargetMode="External"/><Relationship Id="rId41" Type="http://schemas.openxmlformats.org/officeDocument/2006/relationships/hyperlink" Target="https://assets.bbhub.io/company/sites/60/2021/07/2021-TCFD-Implementing_Guidance.pdf"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hiberniareg.com/transform-1" TargetMode="External"/><Relationship Id="rId1" Type="http://schemas.openxmlformats.org/officeDocument/2006/relationships/hyperlink" Target="http://www.hiberniareg.com/esg/esg-reporting" TargetMode="External"/><Relationship Id="rId4"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5.vml"/><Relationship Id="rId1" Type="http://schemas.openxmlformats.org/officeDocument/2006/relationships/drawing" Target="../drawings/drawing11.xml"/><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7.vml"/><Relationship Id="rId1" Type="http://schemas.openxmlformats.org/officeDocument/2006/relationships/printerSettings" Target="../printerSettings/printerSettings9.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2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1.xml.rels><?xml version="1.0" encoding="UTF-8" standalone="yes"?>
<Relationships xmlns="http://schemas.openxmlformats.org/package/2006/relationships"><Relationship Id="rId1" Type="http://schemas.openxmlformats.org/officeDocument/2006/relationships/table" Target="../tables/table6.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2.xml"/><Relationship Id="rId4" Type="http://schemas.microsoft.com/office/2017/10/relationships/threadedComment" Target="../threadedComments/threadedComment8.xml"/></Relationships>
</file>

<file path=xl/worksheets/_rels/sheet3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table" Target="../tables/table7.xml"/><Relationship Id="rId1" Type="http://schemas.openxmlformats.org/officeDocument/2006/relationships/vmlDrawing" Target="../drawings/vmlDrawing10.vml"/><Relationship Id="rId4" Type="http://schemas.microsoft.com/office/2017/10/relationships/threadedComment" Target="../threadedComments/threadedComment9.xml"/></Relationships>
</file>

<file path=xl/worksheets/_rels/sheet3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9.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vmlDrawing" Target="../drawings/vmlDrawing12.vml"/><Relationship Id="rId5" Type="http://schemas.microsoft.com/office/2017/10/relationships/threadedComment" Target="../threadedComments/threadedComment11.xml"/><Relationship Id="rId4" Type="http://schemas.openxmlformats.org/officeDocument/2006/relationships/comments" Target="../comments1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 Id="rId5" Type="http://schemas.microsoft.com/office/2019/04/relationships/documenttask" Target="../documenttasks/documenttask2.xml"/><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hiberniareg.com/esg/esg-reporting" TargetMode="External"/><Relationship Id="rId1" Type="http://schemas.openxmlformats.org/officeDocument/2006/relationships/hyperlink" Target="http://www.hiberniareg.com/esg/governance"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DA6F-76CC-4E16-8B4D-9D62D980D192}">
  <sheetPr codeName="Sheet1"/>
  <dimension ref="A1:P93"/>
  <sheetViews>
    <sheetView zoomScale="68" zoomScaleNormal="90" workbookViewId="0">
      <pane xSplit="3" ySplit="3" topLeftCell="E4" activePane="bottomRight" state="frozen"/>
      <selection pane="topRight" activeCell="C1" sqref="C1"/>
      <selection pane="bottomLeft" activeCell="A4" sqref="A4"/>
      <selection pane="bottomRight" activeCell="M2" sqref="M2"/>
    </sheetView>
  </sheetViews>
  <sheetFormatPr defaultRowHeight="14.4" x14ac:dyDescent="0.3"/>
  <cols>
    <col min="1" max="1" width="50.88671875" customWidth="1"/>
    <col min="2" max="2" width="38" customWidth="1"/>
    <col min="3" max="3" width="35.21875" customWidth="1"/>
    <col min="4" max="4" width="46.5546875" hidden="1" customWidth="1"/>
    <col min="5" max="5" width="13.44140625" customWidth="1"/>
    <col min="6" max="6" width="78.109375" customWidth="1"/>
    <col min="7" max="7" width="112.109375" customWidth="1"/>
    <col min="8" max="8" width="9.5546875" customWidth="1"/>
    <col min="9" max="9" width="12" bestFit="1" customWidth="1"/>
    <col min="10" max="10" width="10.109375" customWidth="1"/>
    <col min="11" max="11" width="15.109375" customWidth="1"/>
    <col min="12" max="12" width="15.88671875" bestFit="1" customWidth="1"/>
    <col min="13" max="13" width="16.21875" bestFit="1" customWidth="1"/>
    <col min="14" max="14" width="15.109375" bestFit="1" customWidth="1"/>
    <col min="15" max="15" width="16.77734375" bestFit="1" customWidth="1"/>
    <col min="16" max="16" width="43.21875" customWidth="1"/>
  </cols>
  <sheetData>
    <row r="1" spans="1:16" x14ac:dyDescent="0.3">
      <c r="A1" t="s">
        <v>0</v>
      </c>
      <c r="C1" t="s">
        <v>0</v>
      </c>
      <c r="D1" t="s">
        <v>0</v>
      </c>
      <c r="E1" t="s">
        <v>0</v>
      </c>
      <c r="F1" t="s">
        <v>0</v>
      </c>
      <c r="G1" t="s">
        <v>0</v>
      </c>
      <c r="H1" t="s">
        <v>0</v>
      </c>
      <c r="I1" t="s">
        <v>0</v>
      </c>
      <c r="J1" t="s">
        <v>0</v>
      </c>
      <c r="K1" t="s">
        <v>0</v>
      </c>
      <c r="L1" t="s">
        <v>0</v>
      </c>
      <c r="M1" t="s">
        <v>1</v>
      </c>
      <c r="N1" t="s">
        <v>0</v>
      </c>
      <c r="O1" t="s">
        <v>1</v>
      </c>
      <c r="P1" t="s">
        <v>0</v>
      </c>
    </row>
    <row r="2" spans="1:16" x14ac:dyDescent="0.3">
      <c r="A2" s="1" t="s">
        <v>2</v>
      </c>
      <c r="B2" s="1" t="s">
        <v>3</v>
      </c>
      <c r="C2" s="1" t="s">
        <v>4</v>
      </c>
      <c r="D2" s="1"/>
      <c r="E2" s="1"/>
      <c r="F2" s="1" t="s">
        <v>5</v>
      </c>
      <c r="G2" s="1" t="s">
        <v>6</v>
      </c>
      <c r="H2" s="1" t="s">
        <v>7</v>
      </c>
      <c r="I2" s="1" t="s">
        <v>8</v>
      </c>
      <c r="J2" s="1" t="s">
        <v>9</v>
      </c>
      <c r="K2" s="1" t="s">
        <v>10</v>
      </c>
      <c r="L2" s="1" t="s">
        <v>11</v>
      </c>
      <c r="M2" s="2" t="s">
        <v>12</v>
      </c>
      <c r="N2" s="1" t="s">
        <v>13</v>
      </c>
      <c r="O2" s="2" t="s">
        <v>14</v>
      </c>
      <c r="P2" s="1" t="s">
        <v>15</v>
      </c>
    </row>
    <row r="3" spans="1:16" ht="31.5" customHeight="1" x14ac:dyDescent="0.3">
      <c r="A3" s="1"/>
      <c r="B3" s="1"/>
      <c r="C3" s="1" t="s">
        <v>16</v>
      </c>
      <c r="D3" s="1" t="s">
        <v>17</v>
      </c>
      <c r="E3" s="1" t="s">
        <v>18</v>
      </c>
      <c r="F3" s="4" t="s">
        <v>19</v>
      </c>
      <c r="G3" s="4" t="s">
        <v>20</v>
      </c>
      <c r="H3" s="4" t="s">
        <v>21</v>
      </c>
      <c r="I3" s="4" t="s">
        <v>22</v>
      </c>
      <c r="J3" s="4" t="s">
        <v>23</v>
      </c>
      <c r="K3" s="4" t="s">
        <v>24</v>
      </c>
      <c r="L3" s="4" t="s">
        <v>25</v>
      </c>
      <c r="M3" s="5" t="s">
        <v>26</v>
      </c>
      <c r="N3" s="1"/>
      <c r="O3" s="2"/>
      <c r="P3" s="1"/>
    </row>
    <row r="4" spans="1:16" ht="87" customHeight="1" x14ac:dyDescent="0.3">
      <c r="A4" t="s">
        <v>27</v>
      </c>
      <c r="B4" t="s">
        <v>28</v>
      </c>
      <c r="C4" t="s">
        <v>29</v>
      </c>
      <c r="D4" s="16" t="s">
        <v>30</v>
      </c>
      <c r="E4" t="s">
        <v>31</v>
      </c>
      <c r="F4" s="3" t="s">
        <v>32</v>
      </c>
      <c r="G4" s="6" t="s">
        <v>33</v>
      </c>
      <c r="H4" t="s">
        <v>34</v>
      </c>
      <c r="I4" s="87">
        <f>'GRESB 2024'!D2</f>
        <v>12968110.326900002</v>
      </c>
      <c r="J4" t="s">
        <v>35</v>
      </c>
      <c r="K4" s="8"/>
    </row>
    <row r="5" spans="1:16" ht="28.8" x14ac:dyDescent="0.3">
      <c r="A5" t="s">
        <v>36</v>
      </c>
      <c r="B5" t="s">
        <v>37</v>
      </c>
      <c r="C5" t="s">
        <v>38</v>
      </c>
      <c r="D5" s="16" t="s">
        <v>39</v>
      </c>
      <c r="E5" t="s">
        <v>31</v>
      </c>
      <c r="F5" s="3" t="s">
        <v>40</v>
      </c>
      <c r="G5" s="6" t="s">
        <v>41</v>
      </c>
      <c r="H5" t="s">
        <v>34</v>
      </c>
      <c r="I5" s="87" t="e">
        <f>#REF!</f>
        <v>#REF!</v>
      </c>
      <c r="J5" t="s">
        <v>42</v>
      </c>
      <c r="K5" s="8"/>
    </row>
    <row r="6" spans="1:16" ht="28.8" x14ac:dyDescent="0.3">
      <c r="A6" t="s">
        <v>43</v>
      </c>
      <c r="B6" t="s">
        <v>37</v>
      </c>
      <c r="C6" t="s">
        <v>38</v>
      </c>
      <c r="D6" s="16" t="s">
        <v>44</v>
      </c>
      <c r="E6" t="s">
        <v>31</v>
      </c>
      <c r="F6" s="3" t="s">
        <v>45</v>
      </c>
      <c r="G6" s="6" t="s">
        <v>46</v>
      </c>
      <c r="H6" t="s">
        <v>34</v>
      </c>
      <c r="I6" s="104">
        <f>'8'!E11</f>
        <v>0.19</v>
      </c>
      <c r="J6" t="s">
        <v>47</v>
      </c>
      <c r="K6" s="8"/>
    </row>
    <row r="7" spans="1:16" ht="57.6" x14ac:dyDescent="0.3">
      <c r="A7" t="s">
        <v>48</v>
      </c>
      <c r="B7" t="s">
        <v>49</v>
      </c>
      <c r="C7" t="s">
        <v>38</v>
      </c>
      <c r="D7" s="13" t="s">
        <v>50</v>
      </c>
      <c r="E7" t="s">
        <v>31</v>
      </c>
      <c r="F7" s="6" t="s">
        <v>51</v>
      </c>
      <c r="G7" s="6" t="s">
        <v>52</v>
      </c>
      <c r="H7" t="s">
        <v>34</v>
      </c>
      <c r="I7" s="148" t="e">
        <f>#REF!+#REF!+#REF!</f>
        <v>#REF!</v>
      </c>
      <c r="J7" t="s">
        <v>53</v>
      </c>
      <c r="K7" s="8"/>
    </row>
    <row r="8" spans="1:16" ht="57.6" x14ac:dyDescent="0.3">
      <c r="A8" t="s">
        <v>48</v>
      </c>
      <c r="B8" t="s">
        <v>49</v>
      </c>
      <c r="C8" t="s">
        <v>29</v>
      </c>
      <c r="D8" s="13" t="s">
        <v>50</v>
      </c>
      <c r="E8" t="s">
        <v>31</v>
      </c>
      <c r="F8" s="6" t="s">
        <v>51</v>
      </c>
      <c r="G8" s="6" t="s">
        <v>52</v>
      </c>
      <c r="H8" t="s">
        <v>34</v>
      </c>
      <c r="I8" s="148">
        <f>'GRESB 2024'!O149+'GRESB 2024'!P149+'GRESB 2024'!Q149</f>
        <v>3216.5855799999999</v>
      </c>
      <c r="J8" t="s">
        <v>53</v>
      </c>
      <c r="K8" s="8"/>
    </row>
    <row r="9" spans="1:16" ht="65.25" customHeight="1" x14ac:dyDescent="0.3">
      <c r="A9" t="s">
        <v>54</v>
      </c>
      <c r="B9" t="s">
        <v>28</v>
      </c>
      <c r="C9" t="s">
        <v>38</v>
      </c>
      <c r="D9" s="9" t="s">
        <v>55</v>
      </c>
      <c r="E9" t="s">
        <v>31</v>
      </c>
      <c r="F9" s="6" t="s">
        <v>56</v>
      </c>
      <c r="G9" s="6" t="s">
        <v>57</v>
      </c>
      <c r="H9" t="s">
        <v>34</v>
      </c>
      <c r="I9" s="87" t="e">
        <f>#REF!</f>
        <v>#REF!</v>
      </c>
      <c r="J9" t="s">
        <v>58</v>
      </c>
      <c r="K9" s="8"/>
    </row>
    <row r="10" spans="1:16" ht="65.25" customHeight="1" x14ac:dyDescent="0.3">
      <c r="A10" t="s">
        <v>54</v>
      </c>
      <c r="B10" t="s">
        <v>28</v>
      </c>
      <c r="C10" t="s">
        <v>29</v>
      </c>
      <c r="D10" s="9" t="s">
        <v>55</v>
      </c>
      <c r="E10" t="s">
        <v>31</v>
      </c>
      <c r="F10" s="6" t="s">
        <v>59</v>
      </c>
      <c r="G10" s="6" t="s">
        <v>60</v>
      </c>
      <c r="H10" t="s">
        <v>34</v>
      </c>
      <c r="I10" s="87">
        <f>'GRESB 2024'!D3</f>
        <v>14626.533022280781</v>
      </c>
      <c r="J10" t="s">
        <v>58</v>
      </c>
      <c r="K10" s="8"/>
    </row>
    <row r="11" spans="1:16" ht="42" customHeight="1" x14ac:dyDescent="0.3">
      <c r="A11" t="s">
        <v>61</v>
      </c>
      <c r="B11" t="s">
        <v>28</v>
      </c>
      <c r="C11" t="s">
        <v>38</v>
      </c>
      <c r="D11" s="10" t="s">
        <v>62</v>
      </c>
      <c r="E11" t="s">
        <v>31</v>
      </c>
      <c r="F11" s="6" t="s">
        <v>63</v>
      </c>
      <c r="G11" s="6" t="s">
        <v>64</v>
      </c>
      <c r="H11" t="s">
        <v>34</v>
      </c>
      <c r="I11" s="87" t="e">
        <f>'5'!#REF!</f>
        <v>#REF!</v>
      </c>
      <c r="J11" t="s">
        <v>65</v>
      </c>
      <c r="K11" s="8"/>
    </row>
    <row r="12" spans="1:16" ht="42" customHeight="1" x14ac:dyDescent="0.3">
      <c r="A12" t="s">
        <v>61</v>
      </c>
      <c r="B12" t="s">
        <v>28</v>
      </c>
      <c r="C12" t="s">
        <v>29</v>
      </c>
      <c r="D12" s="10" t="s">
        <v>62</v>
      </c>
      <c r="E12" t="s">
        <v>31</v>
      </c>
      <c r="F12" s="6" t="s">
        <v>66</v>
      </c>
      <c r="G12" s="6" t="s">
        <v>67</v>
      </c>
      <c r="H12" t="s">
        <v>34</v>
      </c>
      <c r="I12" s="87">
        <f>'GRESB 2024'!D4</f>
        <v>300.35599999999999</v>
      </c>
      <c r="J12" t="s">
        <v>65</v>
      </c>
      <c r="K12" s="8"/>
    </row>
    <row r="13" spans="1:16" ht="43.2" x14ac:dyDescent="0.3">
      <c r="A13" t="s">
        <v>68</v>
      </c>
      <c r="B13" t="s">
        <v>28</v>
      </c>
      <c r="C13" t="s">
        <v>38</v>
      </c>
      <c r="D13" s="16" t="s">
        <v>30</v>
      </c>
      <c r="E13" t="s">
        <v>31</v>
      </c>
      <c r="F13" s="6" t="s">
        <v>69</v>
      </c>
      <c r="G13" s="6" t="s">
        <v>70</v>
      </c>
      <c r="H13" t="s">
        <v>34</v>
      </c>
      <c r="I13" s="87" t="e">
        <f>#REF!</f>
        <v>#REF!</v>
      </c>
      <c r="J13" t="s">
        <v>35</v>
      </c>
      <c r="K13" s="8"/>
    </row>
    <row r="14" spans="1:16" ht="28.8" x14ac:dyDescent="0.3">
      <c r="A14" t="s">
        <v>71</v>
      </c>
      <c r="B14" t="s">
        <v>28</v>
      </c>
      <c r="C14" t="s">
        <v>38</v>
      </c>
      <c r="D14" s="16" t="s">
        <v>30</v>
      </c>
      <c r="E14" t="s">
        <v>31</v>
      </c>
      <c r="F14" s="6" t="s">
        <v>72</v>
      </c>
      <c r="G14" s="6" t="s">
        <v>73</v>
      </c>
      <c r="H14" t="s">
        <v>34</v>
      </c>
      <c r="I14" s="87" t="e">
        <f>#REF!</f>
        <v>#REF!</v>
      </c>
      <c r="J14" t="s">
        <v>35</v>
      </c>
      <c r="K14" s="8"/>
    </row>
    <row r="15" spans="1:16" ht="63.75" customHeight="1" x14ac:dyDescent="0.3">
      <c r="A15" t="s">
        <v>74</v>
      </c>
      <c r="B15" t="s">
        <v>28</v>
      </c>
      <c r="C15" t="s">
        <v>38</v>
      </c>
      <c r="D15" s="16" t="s">
        <v>30</v>
      </c>
      <c r="E15" t="s">
        <v>31</v>
      </c>
      <c r="F15" s="6" t="s">
        <v>75</v>
      </c>
      <c r="G15" s="6" t="s">
        <v>76</v>
      </c>
      <c r="H15" t="s">
        <v>34</v>
      </c>
      <c r="I15" s="87" t="e">
        <f>#REF!</f>
        <v>#REF!</v>
      </c>
      <c r="J15" t="s">
        <v>35</v>
      </c>
      <c r="K15" s="8"/>
    </row>
    <row r="16" spans="1:16" ht="57.6" x14ac:dyDescent="0.3">
      <c r="A16" t="s">
        <v>77</v>
      </c>
      <c r="B16" t="s">
        <v>28</v>
      </c>
      <c r="C16" t="s">
        <v>38</v>
      </c>
      <c r="D16" s="13" t="s">
        <v>78</v>
      </c>
      <c r="E16" t="s">
        <v>31</v>
      </c>
      <c r="F16" s="6" t="s">
        <v>79</v>
      </c>
      <c r="G16" s="6" t="s">
        <v>80</v>
      </c>
      <c r="H16" t="s">
        <v>34</v>
      </c>
      <c r="I16" s="87" t="e">
        <f>#REF!</f>
        <v>#REF!</v>
      </c>
      <c r="J16" t="s">
        <v>53</v>
      </c>
      <c r="K16" s="8"/>
    </row>
    <row r="17" spans="1:11" ht="57.6" x14ac:dyDescent="0.3">
      <c r="A17" t="s">
        <v>81</v>
      </c>
      <c r="B17" t="s">
        <v>28</v>
      </c>
      <c r="C17" t="s">
        <v>38</v>
      </c>
      <c r="D17" s="13" t="s">
        <v>82</v>
      </c>
      <c r="E17" t="s">
        <v>31</v>
      </c>
      <c r="F17" s="6" t="s">
        <v>83</v>
      </c>
      <c r="G17" s="6" t="s">
        <v>84</v>
      </c>
      <c r="H17" t="s">
        <v>34</v>
      </c>
      <c r="I17" s="87" t="e">
        <f>#REF!</f>
        <v>#REF!</v>
      </c>
      <c r="J17" t="s">
        <v>53</v>
      </c>
      <c r="K17" s="8"/>
    </row>
    <row r="18" spans="1:11" ht="144" x14ac:dyDescent="0.3">
      <c r="A18" t="s">
        <v>85</v>
      </c>
      <c r="B18" t="s">
        <v>28</v>
      </c>
      <c r="C18" t="s">
        <v>38</v>
      </c>
      <c r="D18" s="12" t="s">
        <v>86</v>
      </c>
      <c r="E18" t="s">
        <v>31</v>
      </c>
      <c r="F18" s="6" t="s">
        <v>87</v>
      </c>
      <c r="G18" s="7" t="s">
        <v>88</v>
      </c>
      <c r="H18" t="s">
        <v>34</v>
      </c>
      <c r="I18" s="280" t="e">
        <f>#REF!+#REF!</f>
        <v>#REF!</v>
      </c>
      <c r="J18" t="s">
        <v>53</v>
      </c>
      <c r="K18" s="8"/>
    </row>
    <row r="19" spans="1:11" ht="72" x14ac:dyDescent="0.3">
      <c r="A19" t="s">
        <v>89</v>
      </c>
      <c r="B19" t="s">
        <v>28</v>
      </c>
      <c r="C19" t="s">
        <v>38</v>
      </c>
      <c r="D19" s="12" t="s">
        <v>86</v>
      </c>
      <c r="E19" t="s">
        <v>31</v>
      </c>
      <c r="F19" s="6" t="s">
        <v>90</v>
      </c>
      <c r="G19" s="7" t="s">
        <v>91</v>
      </c>
      <c r="H19" t="s">
        <v>34</v>
      </c>
      <c r="I19" s="280" t="e">
        <f>#REF!</f>
        <v>#REF!</v>
      </c>
      <c r="J19" t="s">
        <v>53</v>
      </c>
      <c r="K19" s="8"/>
    </row>
    <row r="20" spans="1:11" ht="72" x14ac:dyDescent="0.3">
      <c r="A20" t="s">
        <v>92</v>
      </c>
      <c r="B20" t="s">
        <v>28</v>
      </c>
      <c r="C20" t="s">
        <v>38</v>
      </c>
      <c r="D20" s="12" t="s">
        <v>86</v>
      </c>
      <c r="E20" t="s">
        <v>31</v>
      </c>
      <c r="F20" s="6" t="s">
        <v>93</v>
      </c>
      <c r="G20" s="7" t="s">
        <v>94</v>
      </c>
      <c r="H20" t="s">
        <v>34</v>
      </c>
      <c r="I20" t="e">
        <f>#REF!</f>
        <v>#REF!</v>
      </c>
      <c r="J20" t="s">
        <v>53</v>
      </c>
      <c r="K20" s="8"/>
    </row>
    <row r="21" spans="1:11" ht="57.6" x14ac:dyDescent="0.3">
      <c r="A21" t="s">
        <v>95</v>
      </c>
      <c r="B21" t="s">
        <v>28</v>
      </c>
      <c r="C21" t="s">
        <v>38</v>
      </c>
      <c r="D21" s="12" t="s">
        <v>86</v>
      </c>
      <c r="E21" t="s">
        <v>31</v>
      </c>
      <c r="F21" s="6" t="s">
        <v>96</v>
      </c>
      <c r="G21" s="7" t="s">
        <v>97</v>
      </c>
      <c r="H21" t="s">
        <v>34</v>
      </c>
      <c r="I21" t="e">
        <f>#REF!</f>
        <v>#REF!</v>
      </c>
      <c r="J21" t="s">
        <v>53</v>
      </c>
      <c r="K21" s="8"/>
    </row>
    <row r="22" spans="1:11" ht="129.6" x14ac:dyDescent="0.3">
      <c r="A22" t="s">
        <v>98</v>
      </c>
      <c r="B22" t="s">
        <v>28</v>
      </c>
      <c r="C22" t="s">
        <v>38</v>
      </c>
      <c r="D22" s="12" t="s">
        <v>86</v>
      </c>
      <c r="E22" t="s">
        <v>31</v>
      </c>
      <c r="F22" s="6" t="s">
        <v>99</v>
      </c>
      <c r="G22" s="7" t="s">
        <v>100</v>
      </c>
      <c r="H22" t="s">
        <v>34</v>
      </c>
      <c r="I22" t="e">
        <f>#REF!</f>
        <v>#REF!</v>
      </c>
      <c r="J22" t="s">
        <v>53</v>
      </c>
      <c r="K22" s="8"/>
    </row>
    <row r="23" spans="1:11" ht="187.2" x14ac:dyDescent="0.3">
      <c r="A23" t="s">
        <v>101</v>
      </c>
      <c r="B23" t="s">
        <v>28</v>
      </c>
      <c r="C23" t="s">
        <v>38</v>
      </c>
      <c r="D23" s="12" t="s">
        <v>86</v>
      </c>
      <c r="E23" t="s">
        <v>31</v>
      </c>
      <c r="F23" s="6" t="s">
        <v>102</v>
      </c>
      <c r="G23" s="7" t="s">
        <v>103</v>
      </c>
      <c r="H23" t="s">
        <v>34</v>
      </c>
      <c r="I23" t="e">
        <f>#REF!</f>
        <v>#REF!</v>
      </c>
      <c r="J23" t="s">
        <v>53</v>
      </c>
      <c r="K23" s="8"/>
    </row>
    <row r="24" spans="1:11" ht="150" customHeight="1" x14ac:dyDescent="0.3">
      <c r="A24" t="s">
        <v>104</v>
      </c>
      <c r="B24" t="s">
        <v>28</v>
      </c>
      <c r="C24" t="s">
        <v>38</v>
      </c>
      <c r="D24" s="12" t="s">
        <v>86</v>
      </c>
      <c r="E24" t="s">
        <v>31</v>
      </c>
      <c r="F24" s="6" t="s">
        <v>105</v>
      </c>
      <c r="G24" s="7" t="s">
        <v>106</v>
      </c>
      <c r="H24" t="s">
        <v>34</v>
      </c>
      <c r="I24" s="280">
        <f>'Emissions 2024'!K177</f>
        <v>2875.1497509999999</v>
      </c>
      <c r="J24" t="s">
        <v>53</v>
      </c>
      <c r="K24" s="8"/>
    </row>
    <row r="25" spans="1:11" ht="28.8" x14ac:dyDescent="0.3">
      <c r="A25" t="s">
        <v>107</v>
      </c>
      <c r="B25" t="s">
        <v>28</v>
      </c>
      <c r="C25" t="s">
        <v>38</v>
      </c>
      <c r="D25" s="13" t="s">
        <v>108</v>
      </c>
      <c r="E25" t="s">
        <v>31</v>
      </c>
      <c r="F25" s="6" t="s">
        <v>109</v>
      </c>
      <c r="G25" s="6" t="s">
        <v>110</v>
      </c>
      <c r="H25" t="s">
        <v>34</v>
      </c>
      <c r="I25" s="147" t="e">
        <f>(I24+I16+I17)/'2024 Asset list'!I25</f>
        <v>#REF!</v>
      </c>
      <c r="J25" t="s">
        <v>111</v>
      </c>
      <c r="K25" s="8"/>
    </row>
    <row r="26" spans="1:11" ht="61.5" customHeight="1" x14ac:dyDescent="0.3">
      <c r="A26" t="s">
        <v>112</v>
      </c>
      <c r="B26" t="s">
        <v>113</v>
      </c>
      <c r="C26" t="s">
        <v>38</v>
      </c>
      <c r="D26" s="10" t="s">
        <v>114</v>
      </c>
      <c r="E26" t="s">
        <v>31</v>
      </c>
      <c r="F26" s="6" t="s">
        <v>115</v>
      </c>
      <c r="G26" s="6" t="s">
        <v>116</v>
      </c>
      <c r="H26" t="s">
        <v>34</v>
      </c>
      <c r="I26" s="111">
        <f>'S&amp;G Emp'!S6</f>
        <v>0.25</v>
      </c>
      <c r="J26" t="s">
        <v>117</v>
      </c>
      <c r="K26" s="8"/>
    </row>
    <row r="27" spans="1:11" ht="42.75" customHeight="1" x14ac:dyDescent="0.3">
      <c r="C27" t="s">
        <v>38</v>
      </c>
      <c r="D27" s="10"/>
      <c r="E27" t="s">
        <v>31</v>
      </c>
      <c r="F27" s="6"/>
      <c r="G27" s="6" t="s">
        <v>118</v>
      </c>
      <c r="H27" t="s">
        <v>34</v>
      </c>
      <c r="I27" s="111">
        <f>'S&amp;G Emp'!S4</f>
        <v>0.34375</v>
      </c>
      <c r="J27" t="s">
        <v>117</v>
      </c>
      <c r="K27" s="8"/>
    </row>
    <row r="28" spans="1:11" ht="72" x14ac:dyDescent="0.3">
      <c r="A28" t="s">
        <v>119</v>
      </c>
      <c r="B28" t="s">
        <v>113</v>
      </c>
      <c r="C28" t="s">
        <v>38</v>
      </c>
      <c r="D28" s="10" t="s">
        <v>114</v>
      </c>
      <c r="E28" t="s">
        <v>31</v>
      </c>
      <c r="F28" s="6" t="s">
        <v>115</v>
      </c>
      <c r="G28" s="6" t="s">
        <v>120</v>
      </c>
      <c r="H28" t="s">
        <v>34</v>
      </c>
      <c r="I28" s="112">
        <f>'S&amp;G Emp'!U6</f>
        <v>1.2922356164383562</v>
      </c>
      <c r="J28" t="s">
        <v>117</v>
      </c>
      <c r="K28" s="8"/>
    </row>
    <row r="29" spans="1:11" x14ac:dyDescent="0.3">
      <c r="C29" t="s">
        <v>38</v>
      </c>
      <c r="D29" s="10"/>
      <c r="F29" s="6"/>
      <c r="G29" s="6" t="s">
        <v>118</v>
      </c>
      <c r="H29" t="s">
        <v>34</v>
      </c>
      <c r="I29" s="112">
        <f>'S&amp;G Emp'!U4</f>
        <v>1.5594772429726607</v>
      </c>
      <c r="J29" t="s">
        <v>117</v>
      </c>
      <c r="K29" s="8"/>
    </row>
    <row r="30" spans="1:11" ht="43.2" x14ac:dyDescent="0.3">
      <c r="A30" t="s">
        <v>121</v>
      </c>
      <c r="B30" t="s">
        <v>113</v>
      </c>
      <c r="C30" t="s">
        <v>38</v>
      </c>
      <c r="D30" s="10" t="s">
        <v>114</v>
      </c>
      <c r="E30" t="s">
        <v>31</v>
      </c>
      <c r="F30" s="6" t="s">
        <v>115</v>
      </c>
      <c r="G30" s="6" t="s">
        <v>122</v>
      </c>
      <c r="H30" t="s">
        <v>34</v>
      </c>
      <c r="I30" s="113" t="s">
        <v>123</v>
      </c>
      <c r="J30" t="s">
        <v>117</v>
      </c>
      <c r="K30" s="8"/>
    </row>
    <row r="31" spans="1:11" x14ac:dyDescent="0.3">
      <c r="A31" s="82" t="s">
        <v>124</v>
      </c>
      <c r="C31" t="s">
        <v>38</v>
      </c>
      <c r="D31" s="10"/>
      <c r="F31" s="6"/>
      <c r="G31" s="6"/>
      <c r="I31" s="112">
        <f>'Diversity Employee Age Distribu'!D6</f>
        <v>3.125E-2</v>
      </c>
      <c r="K31" s="8"/>
    </row>
    <row r="32" spans="1:11" x14ac:dyDescent="0.3">
      <c r="A32" s="82" t="s">
        <v>125</v>
      </c>
      <c r="C32" t="s">
        <v>38</v>
      </c>
      <c r="D32" s="10"/>
      <c r="F32" s="6"/>
      <c r="G32" s="6"/>
      <c r="I32" s="114">
        <f>'Diversity Employee Age Distribu'!L6</f>
        <v>0</v>
      </c>
      <c r="K32" s="8"/>
    </row>
    <row r="33" spans="1:11" x14ac:dyDescent="0.3">
      <c r="A33" s="82" t="s">
        <v>126</v>
      </c>
      <c r="C33" t="s">
        <v>38</v>
      </c>
      <c r="D33" s="10"/>
      <c r="F33" s="6"/>
      <c r="G33" s="6"/>
      <c r="I33" s="113">
        <f>'Diversity Employee Age Distribu'!M6</f>
        <v>1</v>
      </c>
      <c r="K33" s="8"/>
    </row>
    <row r="34" spans="1:11" x14ac:dyDescent="0.3">
      <c r="A34" s="82" t="s">
        <v>127</v>
      </c>
      <c r="C34" t="s">
        <v>38</v>
      </c>
      <c r="D34" s="10"/>
      <c r="F34" s="6"/>
      <c r="G34" s="6"/>
      <c r="I34" s="112">
        <f>'Diversity Employee Age Distribu'!F6</f>
        <v>0</v>
      </c>
      <c r="K34" s="8"/>
    </row>
    <row r="35" spans="1:11" x14ac:dyDescent="0.3">
      <c r="A35" s="82" t="s">
        <v>128</v>
      </c>
      <c r="C35" t="s">
        <v>38</v>
      </c>
      <c r="D35" s="10"/>
      <c r="F35" s="6"/>
      <c r="G35" s="6"/>
      <c r="I35" s="113">
        <f>'Diversity Employee Age Distribu'!N6</f>
        <v>0</v>
      </c>
      <c r="K35" s="8"/>
    </row>
    <row r="36" spans="1:11" x14ac:dyDescent="0.3">
      <c r="A36" s="82" t="s">
        <v>129</v>
      </c>
      <c r="C36" t="s">
        <v>38</v>
      </c>
      <c r="D36" s="10"/>
      <c r="F36" s="6"/>
      <c r="G36" s="6"/>
      <c r="I36" s="113">
        <f>'Diversity Employee Age Distribu'!O6</f>
        <v>0</v>
      </c>
      <c r="K36" s="8"/>
    </row>
    <row r="37" spans="1:11" x14ac:dyDescent="0.3">
      <c r="A37" s="82" t="s">
        <v>130</v>
      </c>
      <c r="C37" t="s">
        <v>38</v>
      </c>
      <c r="D37" s="10"/>
      <c r="F37" s="6"/>
      <c r="G37" s="6"/>
      <c r="I37" s="112">
        <f>'Diversity Employee Age Distribu'!D7</f>
        <v>0.65625</v>
      </c>
      <c r="K37" s="8"/>
    </row>
    <row r="38" spans="1:11" x14ac:dyDescent="0.3">
      <c r="A38" s="82" t="s">
        <v>131</v>
      </c>
      <c r="C38" t="s">
        <v>38</v>
      </c>
      <c r="D38" s="10"/>
      <c r="F38" s="6"/>
      <c r="G38" s="6"/>
      <c r="I38" s="113">
        <f>'Diversity Employee Age Distribu'!L7</f>
        <v>16</v>
      </c>
      <c r="K38" s="8"/>
    </row>
    <row r="39" spans="1:11" x14ac:dyDescent="0.3">
      <c r="A39" s="82" t="s">
        <v>132</v>
      </c>
      <c r="C39" t="s">
        <v>38</v>
      </c>
      <c r="D39" s="10"/>
      <c r="F39" s="6"/>
      <c r="G39" s="6"/>
      <c r="I39" s="113">
        <f>'Diversity Employee Age Distribu'!M7</f>
        <v>5</v>
      </c>
      <c r="K39" s="8"/>
    </row>
    <row r="40" spans="1:11" x14ac:dyDescent="0.3">
      <c r="A40" s="82" t="s">
        <v>133</v>
      </c>
      <c r="C40" t="s">
        <v>38</v>
      </c>
      <c r="D40" s="10"/>
      <c r="F40" s="6"/>
      <c r="G40" s="6"/>
      <c r="I40" s="112">
        <f>'Diversity Employee Age Distribu'!F7</f>
        <v>0.875</v>
      </c>
      <c r="K40" s="8"/>
    </row>
    <row r="41" spans="1:11" x14ac:dyDescent="0.3">
      <c r="A41" s="82" t="s">
        <v>134</v>
      </c>
      <c r="C41" t="s">
        <v>38</v>
      </c>
      <c r="D41" s="10"/>
      <c r="F41" s="6"/>
      <c r="G41" s="6"/>
      <c r="I41" s="113">
        <f>'Diversity Employee Age Distribu'!N7</f>
        <v>5</v>
      </c>
      <c r="K41" s="8"/>
    </row>
    <row r="42" spans="1:11" x14ac:dyDescent="0.3">
      <c r="A42" s="82" t="s">
        <v>135</v>
      </c>
      <c r="C42" t="s">
        <v>38</v>
      </c>
      <c r="D42" s="10"/>
      <c r="F42" s="6"/>
      <c r="G42" s="6"/>
      <c r="I42" s="113">
        <f>'Diversity Employee Age Distribu'!O7</f>
        <v>2</v>
      </c>
      <c r="K42" s="8"/>
    </row>
    <row r="43" spans="1:11" x14ac:dyDescent="0.3">
      <c r="A43" s="82" t="s">
        <v>136</v>
      </c>
      <c r="C43" t="s">
        <v>38</v>
      </c>
      <c r="D43" s="10"/>
      <c r="F43" s="6"/>
      <c r="G43" s="6"/>
      <c r="I43" s="112">
        <f>'Diversity Employee Age Distribu'!D8</f>
        <v>0.3125</v>
      </c>
      <c r="K43" s="8"/>
    </row>
    <row r="44" spans="1:11" x14ac:dyDescent="0.3">
      <c r="A44" s="82" t="s">
        <v>137</v>
      </c>
      <c r="C44" t="s">
        <v>38</v>
      </c>
      <c r="D44" s="10"/>
      <c r="F44" s="6"/>
      <c r="G44" s="6"/>
      <c r="I44" s="113">
        <f>'Diversity Employee Age Distribu'!L8</f>
        <v>5</v>
      </c>
      <c r="K44" s="8"/>
    </row>
    <row r="45" spans="1:11" x14ac:dyDescent="0.3">
      <c r="A45" s="82" t="s">
        <v>138</v>
      </c>
      <c r="C45" t="s">
        <v>38</v>
      </c>
      <c r="D45" s="10"/>
      <c r="F45" s="6"/>
      <c r="G45" s="6"/>
      <c r="I45" s="113">
        <f>'Diversity Employee Age Distribu'!M8</f>
        <v>5</v>
      </c>
      <c r="K45" s="8"/>
    </row>
    <row r="46" spans="1:11" x14ac:dyDescent="0.3">
      <c r="A46" s="82" t="s">
        <v>139</v>
      </c>
      <c r="C46" t="s">
        <v>38</v>
      </c>
      <c r="D46" s="10"/>
      <c r="F46" s="6"/>
      <c r="G46" s="6"/>
      <c r="I46" s="112">
        <f>'Diversity Employee Age Distribu'!F8</f>
        <v>0.125</v>
      </c>
      <c r="K46" s="8"/>
    </row>
    <row r="47" spans="1:11" x14ac:dyDescent="0.3">
      <c r="A47" s="82" t="s">
        <v>140</v>
      </c>
      <c r="C47" t="s">
        <v>38</v>
      </c>
      <c r="D47" s="10"/>
      <c r="F47" s="6"/>
      <c r="G47" s="6"/>
      <c r="I47" s="113">
        <f>'Diversity Employee Age Distribu'!N8</f>
        <v>1</v>
      </c>
      <c r="K47" s="8"/>
    </row>
    <row r="48" spans="1:11" x14ac:dyDescent="0.3">
      <c r="A48" s="82" t="s">
        <v>141</v>
      </c>
      <c r="C48" t="s">
        <v>38</v>
      </c>
      <c r="D48" s="10"/>
      <c r="F48" s="6"/>
      <c r="G48" s="6"/>
      <c r="I48" s="113">
        <f>'Diversity Employee Age Distribu'!O8</f>
        <v>0</v>
      </c>
      <c r="K48" s="8"/>
    </row>
    <row r="49" spans="1:11" ht="57.6" x14ac:dyDescent="0.3">
      <c r="A49" t="s">
        <v>142</v>
      </c>
      <c r="B49" t="s">
        <v>113</v>
      </c>
      <c r="C49" t="s">
        <v>38</v>
      </c>
      <c r="D49" s="9" t="s">
        <v>143</v>
      </c>
      <c r="E49" t="s">
        <v>31</v>
      </c>
      <c r="F49" s="53" t="s">
        <v>144</v>
      </c>
      <c r="G49" s="6" t="s">
        <v>145</v>
      </c>
      <c r="H49" t="s">
        <v>34</v>
      </c>
      <c r="I49" s="115">
        <f>'S&amp;G Emp'!V4</f>
        <v>23.296875</v>
      </c>
      <c r="J49" t="s">
        <v>146</v>
      </c>
      <c r="K49" s="8"/>
    </row>
    <row r="50" spans="1:11" ht="56.25" customHeight="1" x14ac:dyDescent="0.3">
      <c r="A50" t="s">
        <v>147</v>
      </c>
      <c r="B50" t="s">
        <v>113</v>
      </c>
      <c r="C50" t="s">
        <v>38</v>
      </c>
      <c r="D50" s="9" t="s">
        <v>143</v>
      </c>
      <c r="E50" t="s">
        <v>31</v>
      </c>
      <c r="F50" s="53" t="s">
        <v>148</v>
      </c>
      <c r="G50" s="6" t="s">
        <v>149</v>
      </c>
      <c r="H50" t="s">
        <v>34</v>
      </c>
      <c r="I50" s="112" t="e">
        <f>#REF!</f>
        <v>#REF!</v>
      </c>
      <c r="J50" t="s">
        <v>117</v>
      </c>
      <c r="K50" s="8"/>
    </row>
    <row r="51" spans="1:11" ht="43.2" x14ac:dyDescent="0.3">
      <c r="A51" t="s">
        <v>150</v>
      </c>
      <c r="B51" t="s">
        <v>113</v>
      </c>
      <c r="C51" t="s">
        <v>38</v>
      </c>
      <c r="D51" s="10" t="s">
        <v>151</v>
      </c>
      <c r="E51" t="s">
        <v>31</v>
      </c>
      <c r="F51" t="s">
        <v>152</v>
      </c>
      <c r="G51" s="6" t="s">
        <v>153</v>
      </c>
      <c r="H51" t="s">
        <v>34</v>
      </c>
      <c r="I51" s="112">
        <f>'S&amp;G Emp'!AC4</f>
        <v>0.21875</v>
      </c>
      <c r="J51" t="s">
        <v>154</v>
      </c>
      <c r="K51" s="8"/>
    </row>
    <row r="52" spans="1:11" x14ac:dyDescent="0.3">
      <c r="C52" t="s">
        <v>38</v>
      </c>
      <c r="D52" s="10"/>
      <c r="G52" s="6" t="s">
        <v>155</v>
      </c>
      <c r="I52" s="113">
        <f>'S&amp;G Emp'!AB4</f>
        <v>1</v>
      </c>
      <c r="J52" t="s">
        <v>156</v>
      </c>
      <c r="K52" s="8"/>
    </row>
    <row r="53" spans="1:11" x14ac:dyDescent="0.3">
      <c r="C53" t="s">
        <v>38</v>
      </c>
      <c r="D53" s="10"/>
      <c r="G53" s="6" t="s">
        <v>157</v>
      </c>
      <c r="I53" s="114">
        <f>'S&amp;G Emp'!AA4</f>
        <v>6</v>
      </c>
      <c r="J53" t="s">
        <v>154</v>
      </c>
      <c r="K53" s="8"/>
    </row>
    <row r="54" spans="1:11" ht="43.2" x14ac:dyDescent="0.3">
      <c r="A54" t="s">
        <v>158</v>
      </c>
      <c r="B54" t="s">
        <v>113</v>
      </c>
      <c r="C54" t="s">
        <v>38</v>
      </c>
      <c r="D54" s="10" t="s">
        <v>151</v>
      </c>
      <c r="E54" t="s">
        <v>31</v>
      </c>
      <c r="F54" t="s">
        <v>152</v>
      </c>
      <c r="G54" s="6" t="s">
        <v>159</v>
      </c>
      <c r="H54" t="s">
        <v>34</v>
      </c>
      <c r="I54" s="112">
        <f>'S&amp;G Emp'!AF4</f>
        <v>0.1875</v>
      </c>
      <c r="J54" t="s">
        <v>154</v>
      </c>
      <c r="K54" s="8"/>
    </row>
    <row r="55" spans="1:11" x14ac:dyDescent="0.3">
      <c r="C55" t="s">
        <v>38</v>
      </c>
      <c r="D55" s="10"/>
      <c r="E55" t="s">
        <v>31</v>
      </c>
      <c r="G55" s="6" t="s">
        <v>155</v>
      </c>
      <c r="I55" s="113">
        <f>'S&amp;G Emp'!AE4</f>
        <v>2</v>
      </c>
      <c r="J55" t="s">
        <v>156</v>
      </c>
      <c r="K55" s="8"/>
    </row>
    <row r="56" spans="1:11" x14ac:dyDescent="0.3">
      <c r="C56" t="s">
        <v>38</v>
      </c>
      <c r="D56" s="10"/>
      <c r="E56" t="s">
        <v>31</v>
      </c>
      <c r="G56" s="6" t="s">
        <v>157</v>
      </c>
      <c r="I56" s="117">
        <f>'S&amp;G Emp'!AD4</f>
        <v>4</v>
      </c>
      <c r="J56" t="s">
        <v>154</v>
      </c>
      <c r="K56" s="8"/>
    </row>
    <row r="57" spans="1:11" ht="57.6" x14ac:dyDescent="0.3">
      <c r="A57" t="s">
        <v>160</v>
      </c>
      <c r="B57" t="s">
        <v>113</v>
      </c>
      <c r="C57" t="s">
        <v>38</v>
      </c>
      <c r="D57" s="11" t="s">
        <v>161</v>
      </c>
      <c r="E57" t="s">
        <v>31</v>
      </c>
      <c r="F57" t="s">
        <v>152</v>
      </c>
      <c r="G57" s="6" t="s">
        <v>162</v>
      </c>
      <c r="H57" t="s">
        <v>34</v>
      </c>
      <c r="I57">
        <v>0</v>
      </c>
      <c r="J57" t="s">
        <v>117</v>
      </c>
      <c r="K57" s="8"/>
    </row>
    <row r="58" spans="1:11" ht="86.4" x14ac:dyDescent="0.3">
      <c r="A58" t="s">
        <v>163</v>
      </c>
      <c r="B58" t="s">
        <v>37</v>
      </c>
      <c r="C58" t="s">
        <v>38</v>
      </c>
      <c r="D58" s="11" t="s">
        <v>161</v>
      </c>
      <c r="E58" t="s">
        <v>31</v>
      </c>
      <c r="F58" t="s">
        <v>164</v>
      </c>
      <c r="G58" s="6" t="s">
        <v>165</v>
      </c>
      <c r="H58" t="s">
        <v>34</v>
      </c>
      <c r="I58">
        <v>100</v>
      </c>
      <c r="J58" t="s">
        <v>117</v>
      </c>
      <c r="K58" s="8"/>
    </row>
    <row r="59" spans="1:11" x14ac:dyDescent="0.3">
      <c r="C59" t="s">
        <v>38</v>
      </c>
      <c r="D59" s="11"/>
      <c r="E59" t="s">
        <v>31</v>
      </c>
      <c r="G59" s="6" t="s">
        <v>166</v>
      </c>
      <c r="H59" t="s">
        <v>34</v>
      </c>
      <c r="I59">
        <v>100</v>
      </c>
      <c r="J59" t="s">
        <v>117</v>
      </c>
      <c r="K59" s="8"/>
    </row>
    <row r="60" spans="1:11" ht="28.8" x14ac:dyDescent="0.3">
      <c r="A60" t="s">
        <v>167</v>
      </c>
      <c r="B60" t="s">
        <v>28</v>
      </c>
      <c r="C60" t="s">
        <v>38</v>
      </c>
      <c r="D60" s="11" t="s">
        <v>161</v>
      </c>
      <c r="E60" t="s">
        <v>31</v>
      </c>
      <c r="F60" t="s">
        <v>168</v>
      </c>
      <c r="G60" s="6" t="s">
        <v>169</v>
      </c>
      <c r="H60" t="s">
        <v>34</v>
      </c>
      <c r="I60">
        <v>0</v>
      </c>
      <c r="J60" t="s">
        <v>170</v>
      </c>
      <c r="K60" s="8"/>
    </row>
    <row r="61" spans="1:11" ht="43.2" x14ac:dyDescent="0.3">
      <c r="A61" t="s">
        <v>171</v>
      </c>
      <c r="B61" t="s">
        <v>113</v>
      </c>
      <c r="C61" t="s">
        <v>38</v>
      </c>
      <c r="D61" s="10" t="s">
        <v>151</v>
      </c>
      <c r="E61" t="s">
        <v>31</v>
      </c>
      <c r="F61" t="s">
        <v>172</v>
      </c>
      <c r="G61" s="6" t="s">
        <v>173</v>
      </c>
      <c r="H61" t="s">
        <v>34</v>
      </c>
      <c r="I61" s="116">
        <f>'S&amp;G Emp'!AI4</f>
        <v>3.3052884615384615E-3</v>
      </c>
      <c r="J61" t="s">
        <v>117</v>
      </c>
      <c r="K61" s="8"/>
    </row>
    <row r="62" spans="1:11" ht="28.8" x14ac:dyDescent="0.3">
      <c r="A62" t="s">
        <v>174</v>
      </c>
      <c r="B62" t="s">
        <v>28</v>
      </c>
      <c r="C62" t="s">
        <v>38</v>
      </c>
      <c r="D62" s="10" t="s">
        <v>175</v>
      </c>
      <c r="E62" t="s">
        <v>31</v>
      </c>
      <c r="F62" t="s">
        <v>176</v>
      </c>
      <c r="G62" s="6" t="s">
        <v>177</v>
      </c>
      <c r="H62" t="s">
        <v>34</v>
      </c>
      <c r="I62" s="72" t="e">
        <f>#REF!</f>
        <v>#REF!</v>
      </c>
      <c r="J62" t="s">
        <v>117</v>
      </c>
      <c r="K62" s="8"/>
    </row>
    <row r="63" spans="1:11" ht="28.8" x14ac:dyDescent="0.3">
      <c r="A63" t="s">
        <v>178</v>
      </c>
      <c r="B63" t="s">
        <v>113</v>
      </c>
      <c r="C63" t="s">
        <v>38</v>
      </c>
      <c r="D63" s="10" t="s">
        <v>114</v>
      </c>
      <c r="E63" t="s">
        <v>31</v>
      </c>
      <c r="F63" t="s">
        <v>172</v>
      </c>
      <c r="G63" s="6" t="s">
        <v>179</v>
      </c>
      <c r="H63" t="s">
        <v>34</v>
      </c>
      <c r="I63">
        <v>91.2</v>
      </c>
      <c r="J63" t="s">
        <v>180</v>
      </c>
      <c r="K63" s="8"/>
    </row>
    <row r="64" spans="1:11" x14ac:dyDescent="0.3">
      <c r="A64" t="s">
        <v>181</v>
      </c>
      <c r="B64" t="s">
        <v>113</v>
      </c>
      <c r="C64" t="s">
        <v>38</v>
      </c>
      <c r="E64" t="s">
        <v>31</v>
      </c>
      <c r="F64" t="s">
        <v>182</v>
      </c>
      <c r="G64" s="6" t="s">
        <v>183</v>
      </c>
      <c r="H64" t="s">
        <v>34</v>
      </c>
      <c r="I64" t="e">
        <f>#REF!</f>
        <v>#REF!</v>
      </c>
      <c r="J64" t="s">
        <v>180</v>
      </c>
      <c r="K64" s="8"/>
    </row>
    <row r="65" spans="1:11" x14ac:dyDescent="0.3">
      <c r="A65" t="s">
        <v>184</v>
      </c>
      <c r="B65" t="s">
        <v>113</v>
      </c>
      <c r="C65" t="s">
        <v>38</v>
      </c>
      <c r="D65" s="11" t="s">
        <v>161</v>
      </c>
      <c r="E65" t="s">
        <v>31</v>
      </c>
      <c r="F65" t="s">
        <v>172</v>
      </c>
      <c r="G65" s="6" t="s">
        <v>185</v>
      </c>
      <c r="H65" t="s">
        <v>34</v>
      </c>
      <c r="I65">
        <v>13</v>
      </c>
      <c r="J65" t="s">
        <v>170</v>
      </c>
      <c r="K65" s="8"/>
    </row>
    <row r="66" spans="1:11" ht="28.8" x14ac:dyDescent="0.3">
      <c r="A66" t="s">
        <v>186</v>
      </c>
      <c r="B66" t="s">
        <v>113</v>
      </c>
      <c r="C66" t="s">
        <v>38</v>
      </c>
      <c r="D66" s="9" t="s">
        <v>187</v>
      </c>
      <c r="E66" t="s">
        <v>31</v>
      </c>
      <c r="F66" t="s">
        <v>113</v>
      </c>
      <c r="G66" s="6" t="s">
        <v>188</v>
      </c>
      <c r="H66" t="s">
        <v>34</v>
      </c>
      <c r="I66">
        <v>0</v>
      </c>
      <c r="J66" t="s">
        <v>170</v>
      </c>
      <c r="K66" s="8"/>
    </row>
    <row r="67" spans="1:11" ht="57.6" x14ac:dyDescent="0.3">
      <c r="A67" t="s">
        <v>189</v>
      </c>
      <c r="B67" t="s">
        <v>113</v>
      </c>
      <c r="C67" t="s">
        <v>38</v>
      </c>
      <c r="D67" s="9" t="s">
        <v>187</v>
      </c>
      <c r="E67" t="s">
        <v>31</v>
      </c>
      <c r="F67" t="s">
        <v>172</v>
      </c>
      <c r="G67" s="6" t="s">
        <v>190</v>
      </c>
      <c r="H67" t="s">
        <v>34</v>
      </c>
      <c r="I67" s="147">
        <f>'S&amp;G Emp'!J38</f>
        <v>21</v>
      </c>
      <c r="J67" t="s">
        <v>191</v>
      </c>
      <c r="K67" s="8"/>
    </row>
    <row r="68" spans="1:11" x14ac:dyDescent="0.3">
      <c r="C68" t="s">
        <v>38</v>
      </c>
      <c r="D68" s="69"/>
      <c r="E68" t="s">
        <v>31</v>
      </c>
      <c r="G68" s="6" t="s">
        <v>192</v>
      </c>
      <c r="I68" s="118">
        <f>'S&amp;G Emp'!W5</f>
        <v>1.375</v>
      </c>
      <c r="J68" t="s">
        <v>193</v>
      </c>
      <c r="K68" s="8"/>
    </row>
    <row r="69" spans="1:11" ht="57.6" x14ac:dyDescent="0.3">
      <c r="A69" t="s">
        <v>194</v>
      </c>
      <c r="B69" t="s">
        <v>113</v>
      </c>
      <c r="C69" t="s">
        <v>38</v>
      </c>
      <c r="D69" s="69"/>
      <c r="E69" t="s">
        <v>31</v>
      </c>
      <c r="F69" t="s">
        <v>172</v>
      </c>
      <c r="G69" s="6" t="s">
        <v>195</v>
      </c>
      <c r="H69" t="s">
        <v>34</v>
      </c>
      <c r="I69">
        <f>'S&amp;G Emp'!K38</f>
        <v>23</v>
      </c>
      <c r="J69" t="s">
        <v>191</v>
      </c>
      <c r="K69" s="8"/>
    </row>
    <row r="70" spans="1:11" x14ac:dyDescent="0.3">
      <c r="C70" t="s">
        <v>38</v>
      </c>
      <c r="D70" s="69"/>
      <c r="E70" t="s">
        <v>31</v>
      </c>
      <c r="G70" s="6" t="s">
        <v>192</v>
      </c>
      <c r="I70" s="118">
        <f>I69/'S&amp;G Emp'!U20</f>
        <v>0.71875</v>
      </c>
      <c r="J70" t="s">
        <v>193</v>
      </c>
      <c r="K70" s="8"/>
    </row>
    <row r="71" spans="1:11" ht="43.2" x14ac:dyDescent="0.3">
      <c r="A71" t="s">
        <v>196</v>
      </c>
      <c r="B71" t="s">
        <v>28</v>
      </c>
      <c r="C71" t="s">
        <v>38</v>
      </c>
      <c r="D71" s="17" t="s">
        <v>197</v>
      </c>
      <c r="E71" t="s">
        <v>31</v>
      </c>
      <c r="F71" t="s">
        <v>198</v>
      </c>
      <c r="G71" s="6" t="s">
        <v>199</v>
      </c>
      <c r="H71" t="s">
        <v>34</v>
      </c>
      <c r="I71" s="106" t="e">
        <f>#REF!</f>
        <v>#REF!</v>
      </c>
      <c r="J71" t="s">
        <v>117</v>
      </c>
      <c r="K71" s="8"/>
    </row>
    <row r="72" spans="1:11" ht="43.2" x14ac:dyDescent="0.3">
      <c r="A72" t="s">
        <v>200</v>
      </c>
      <c r="B72" t="s">
        <v>28</v>
      </c>
      <c r="C72" t="s">
        <v>38</v>
      </c>
      <c r="D72" s="17" t="s">
        <v>197</v>
      </c>
      <c r="E72" t="s">
        <v>31</v>
      </c>
      <c r="F72" t="s">
        <v>198</v>
      </c>
      <c r="G72" s="6" t="s">
        <v>201</v>
      </c>
      <c r="H72" t="s">
        <v>34</v>
      </c>
      <c r="I72" s="106" t="e">
        <f>#REF!</f>
        <v>#REF!</v>
      </c>
      <c r="J72" t="s">
        <v>117</v>
      </c>
      <c r="K72" s="8"/>
    </row>
    <row r="73" spans="1:11" ht="28.8" x14ac:dyDescent="0.3">
      <c r="A73" t="s">
        <v>202</v>
      </c>
      <c r="B73" t="s">
        <v>28</v>
      </c>
      <c r="C73" t="s">
        <v>38</v>
      </c>
      <c r="D73" s="17" t="s">
        <v>197</v>
      </c>
      <c r="E73" t="s">
        <v>31</v>
      </c>
      <c r="F73" t="s">
        <v>198</v>
      </c>
      <c r="G73" s="6" t="s">
        <v>203</v>
      </c>
      <c r="H73" t="s">
        <v>34</v>
      </c>
      <c r="I73" s="106" t="e">
        <f>#REF!</f>
        <v>#REF!</v>
      </c>
      <c r="J73" t="s">
        <v>117</v>
      </c>
      <c r="K73" s="8"/>
    </row>
    <row r="74" spans="1:11" ht="28.8" x14ac:dyDescent="0.3">
      <c r="A74" t="s">
        <v>204</v>
      </c>
      <c r="B74" t="s">
        <v>28</v>
      </c>
      <c r="C74" t="s">
        <v>38</v>
      </c>
      <c r="D74" s="17" t="s">
        <v>197</v>
      </c>
      <c r="E74" t="s">
        <v>31</v>
      </c>
      <c r="F74" t="s">
        <v>205</v>
      </c>
      <c r="G74" s="6" t="s">
        <v>206</v>
      </c>
      <c r="H74" t="s">
        <v>34</v>
      </c>
      <c r="I74">
        <v>100</v>
      </c>
      <c r="J74" t="s">
        <v>117</v>
      </c>
      <c r="K74" s="8"/>
    </row>
    <row r="75" spans="1:11" ht="57.6" x14ac:dyDescent="0.3">
      <c r="A75" t="s">
        <v>207</v>
      </c>
      <c r="B75" t="s">
        <v>113</v>
      </c>
      <c r="C75" t="s">
        <v>38</v>
      </c>
      <c r="E75" t="s">
        <v>31</v>
      </c>
      <c r="F75" t="s">
        <v>208</v>
      </c>
      <c r="G75" s="6" t="s">
        <v>209</v>
      </c>
      <c r="H75" t="s">
        <v>34</v>
      </c>
      <c r="I75" s="72">
        <f>'Supplier Due Diligence'!A2</f>
        <v>0.4</v>
      </c>
      <c r="J75" t="s">
        <v>117</v>
      </c>
    </row>
    <row r="76" spans="1:11" ht="57.6" x14ac:dyDescent="0.3">
      <c r="A76" t="s">
        <v>210</v>
      </c>
      <c r="B76" t="s">
        <v>113</v>
      </c>
      <c r="C76" t="s">
        <v>38</v>
      </c>
      <c r="E76" t="s">
        <v>31</v>
      </c>
      <c r="F76" t="s">
        <v>172</v>
      </c>
      <c r="G76" s="6" t="s">
        <v>211</v>
      </c>
      <c r="H76" t="s">
        <v>34</v>
      </c>
      <c r="I76">
        <f>30+6</f>
        <v>36</v>
      </c>
      <c r="J76" t="s">
        <v>191</v>
      </c>
    </row>
    <row r="77" spans="1:11" x14ac:dyDescent="0.3">
      <c r="A77" s="6" t="s">
        <v>212</v>
      </c>
      <c r="B77" s="6" t="s">
        <v>113</v>
      </c>
      <c r="C77" s="6" t="s">
        <v>38</v>
      </c>
      <c r="D77" s="6" t="s">
        <v>114</v>
      </c>
      <c r="E77" s="6" t="s">
        <v>31</v>
      </c>
      <c r="F77" s="6" t="s">
        <v>213</v>
      </c>
      <c r="G77" s="6" t="s">
        <v>214</v>
      </c>
      <c r="H77" s="6" t="s">
        <v>34</v>
      </c>
      <c r="I77" s="6">
        <v>3</v>
      </c>
      <c r="J77" s="6" t="s">
        <v>170</v>
      </c>
      <c r="K77" s="302" t="e">
        <f t="shared" ref="K77" si="0">(H77-J77)/J77</f>
        <v>#VALUE!</v>
      </c>
    </row>
    <row r="91" spans="4:4" x14ac:dyDescent="0.3">
      <c r="D91" s="13"/>
    </row>
    <row r="92" spans="4:4" x14ac:dyDescent="0.3">
      <c r="D92" s="14"/>
    </row>
    <row r="93" spans="4:4" x14ac:dyDescent="0.3">
      <c r="D93" s="15"/>
    </row>
  </sheetData>
  <autoFilter ref="A1:P75" xr:uid="{73CCDA6F-76CC-4E16-8B4D-9D62D980D192}"/>
  <phoneticPr fontId="3" type="noConversion"/>
  <hyperlinks>
    <hyperlink ref="D67" r:id="rId1" location="page=8" display="205-2" xr:uid="{83C7654D-99F7-4D8A-8947-E18435BC635C}"/>
    <hyperlink ref="D26" r:id="rId2" location="page=6" xr:uid="{B7F1C9C9-7930-43D2-8377-15A93E34D7DC}"/>
    <hyperlink ref="D28" r:id="rId3" location="page=6" xr:uid="{6C3B63ED-E57F-4D34-9886-E0C0344FAE7A}"/>
    <hyperlink ref="D30" r:id="rId4" location="page=6" xr:uid="{E3757CB2-0DB3-4663-A56A-BA99DAF48B87}"/>
    <hyperlink ref="D51" r:id="rId5" location="page=7" xr:uid="{CAC0FA02-565F-49F0-B1E4-501F1BFDD080}"/>
    <hyperlink ref="D54" r:id="rId6" location="page=7" xr:uid="{EDEE8EB8-FDD6-4CFD-8354-1AC0C5DC7AF0}"/>
    <hyperlink ref="D49" r:id="rId7" location="page=9" display="404-3" xr:uid="{B94BCF36-F0AC-4AA9-92C0-257E3E8CBFCC}"/>
    <hyperlink ref="D50" r:id="rId8" location="page=9" display="404-3" xr:uid="{ACA7BB33-CAA4-47B5-8030-DFBF4B318F7D}"/>
    <hyperlink ref="D65" r:id="rId9" location="page=9" display="403: Occupational H&amp;S" xr:uid="{1CCA2055-7255-4EBA-8594-C7CD4AE7013E}"/>
    <hyperlink ref="D60" r:id="rId10" location="page=9" display="403: Occupational H&amp;S" xr:uid="{FE3B33B0-6BB9-47F8-968E-047FBAABB4E5}"/>
    <hyperlink ref="D58" r:id="rId11" location="page=9" display="403: Occupational H&amp;S" xr:uid="{5D6E1D47-6EF4-4423-A8B6-18DC8A6427A6}"/>
    <hyperlink ref="D57" r:id="rId12" location="page=9" display="403: Occupational H&amp;S" xr:uid="{5E73137A-4B50-41F5-B870-EBC0A08D88F6}"/>
    <hyperlink ref="D66" r:id="rId13" location="page=8" display="205-2" xr:uid="{EB6F45DB-9364-41D5-9105-3074CC3FC2D5}"/>
    <hyperlink ref="D63" r:id="rId14" location="page=6" xr:uid="{4CA66A5E-8136-4B71-9B45-736469266001}"/>
    <hyperlink ref="D61" r:id="rId15" location="page=7" xr:uid="{7DF5C31F-AEF4-4D6F-AB1A-99CA5E6F502B}"/>
    <hyperlink ref="D62" r:id="rId16" location="page=9" xr:uid="{FB77D6F5-E3DD-4FE9-B391-C3255C9BEBF9}"/>
    <hyperlink ref="D18" r:id="rId17" location="page=11" xr:uid="{43CF0B1C-7166-4039-8514-AF67B0B75C0D}"/>
    <hyperlink ref="D19" r:id="rId18" location="page=11" xr:uid="{46BB9933-5535-45C1-B392-FCCFE9F123A9}"/>
    <hyperlink ref="D20" r:id="rId19" location="page=11" xr:uid="{873825A1-5884-4E0B-AC6D-6C044B38B217}"/>
    <hyperlink ref="D21" r:id="rId20" location="page=11" xr:uid="{B4AA56C0-3633-4DC2-8BE2-553DDD3F9AB5}"/>
    <hyperlink ref="D22" r:id="rId21" location="page=11" xr:uid="{A6E77BA5-7E6D-4FCE-8F92-D2ED0669F434}"/>
    <hyperlink ref="D23" r:id="rId22" location="page=11" xr:uid="{A7350512-E9A3-480E-8BD6-D9F8DCC14FFF}"/>
    <hyperlink ref="D24" r:id="rId23" location="page=11" xr:uid="{5FC9E719-E665-4D41-9487-3D3F390F86CC}"/>
    <hyperlink ref="D17" r:id="rId24" location="page=9" xr:uid="{F55F990F-A07E-440B-8A99-8CBBB597AEFC}"/>
    <hyperlink ref="D7" r:id="rId25" xr:uid="{8C9AF97E-E776-4D15-B5E1-7BB61D7933D1}"/>
    <hyperlink ref="D5" r:id="rId26" xr:uid="{7AC22FF0-C19F-47C9-ACF5-FD2F3C1AB780}"/>
    <hyperlink ref="D13" r:id="rId27" xr:uid="{DBE6A5CF-DF76-48E5-9771-82231316CF81}"/>
    <hyperlink ref="D9" r:id="rId28" location="page=15" xr:uid="{E959EEB5-76C3-4151-A65A-185247E25BED}"/>
    <hyperlink ref="D11" r:id="rId29" location="page=13" xr:uid="{918CFC63-6B3D-4316-B4D6-411FAA711270}"/>
    <hyperlink ref="D73" r:id="rId30" location="page=50" xr:uid="{CCF48F03-29C8-4AD9-851E-252EF1B4CDB1}"/>
    <hyperlink ref="D4" r:id="rId31" xr:uid="{3E9AE018-A84B-4354-B50E-FAC9A6430782}"/>
    <hyperlink ref="D14" r:id="rId32" xr:uid="{2C27D924-0AE4-403C-9CE4-57C91474A3C8}"/>
    <hyperlink ref="D15" r:id="rId33" xr:uid="{C29D8956-0774-43C3-B06F-C9398DCBB994}"/>
    <hyperlink ref="D6" r:id="rId34" display="GRI Energy 2016: 302" xr:uid="{FF2ACE0B-74CD-4870-9965-F87C5FCA02D0}"/>
    <hyperlink ref="D16" r:id="rId35" location="page=7" xr:uid="{9FE4C8F3-9B10-4938-86CC-2DADFBDD7B77}"/>
    <hyperlink ref="D25" r:id="rId36" location="page=7" display="GRI Emissions 2016: 305-1" xr:uid="{36300727-E86B-4EE6-BFE6-13BDB9616E13}"/>
    <hyperlink ref="I30" r:id="rId37" display="../../../../../:x:/g/sustain/Ee3ogcd7E3dEh8nGKXoztrIBDzU0m_5c-G8xB8r29wYuVQ?e=fkvbkc&amp;nav=MTVfezlFOTI3OTA4LTg0OTEtNEE2Qy05NkYyLTZDOUYyOEJCMUVGQX0" xr:uid="{35A3CF33-F560-4612-9795-0E5B2F75CFC0}"/>
    <hyperlink ref="D10" r:id="rId38" location="page=15" xr:uid="{6C946E8B-D67F-4B2D-B573-F5BA195FBACD}"/>
    <hyperlink ref="D12" r:id="rId39" location="page=13" xr:uid="{2B9859A3-96F8-4327-83D1-EA2ED973097F}"/>
    <hyperlink ref="D74" r:id="rId40" location="page=50" xr:uid="{B96E7C5F-682C-45DA-8C34-CE9C27AF71E0}"/>
    <hyperlink ref="D72" r:id="rId41" location="page=50" xr:uid="{89EDD8E0-FF11-468A-B901-CF34978EDD35}"/>
    <hyperlink ref="D71" r:id="rId42" location="page=50" xr:uid="{19B35584-CBBF-4835-886A-9F3B3E159576}"/>
    <hyperlink ref="D8" r:id="rId43" xr:uid="{5BCC9FFE-4D96-48A0-975C-3DEB97B9630F}"/>
  </hyperlinks>
  <pageMargins left="0.7" right="0.7" top="0.75" bottom="0.75" header="0.3" footer="0.3"/>
  <legacyDrawing r:id="rId44"/>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CCE508F9-D330-4F9D-99E8-7C41CE42577A}">
          <x14:formula1>
            <xm:f>Lists!$C$2:$C$7</xm:f>
          </x14:formula1>
          <xm:sqref>C84:C85</xm:sqref>
        </x14:dataValidation>
        <x14:dataValidation type="list" allowBlank="1" showInputMessage="1" showErrorMessage="1" xr:uid="{2056FB7D-F40E-4044-A8E7-AFA94F48B2F5}">
          <x14:formula1>
            <xm:f>Lists!$A$2:$A$3</xm:f>
          </x14:formula1>
          <xm:sqref>E4:E347</xm:sqref>
        </x14:dataValidation>
        <x14:dataValidation type="list" allowBlank="1" showInputMessage="1" showErrorMessage="1" xr:uid="{D7CBE613-DF1A-42D6-AB8C-E216F435AAEF}">
          <x14:formula1>
            <xm:f>Lists!$B$2:$B$6</xm:f>
          </x14:formula1>
          <xm:sqref>B4:B85</xm:sqref>
        </x14:dataValidation>
        <x14:dataValidation type="list" allowBlank="1" showInputMessage="1" showErrorMessage="1" xr:uid="{E1DBB1B5-2D36-4E2A-B88B-6DD961E24FB6}">
          <x14:formula1>
            <xm:f>Lists!$C$2:$C$8</xm:f>
          </x14:formula1>
          <xm:sqref>C4:C83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CE4F8-FA6F-4368-9573-16BFDAD801CF}">
  <sheetPr>
    <tabColor rgb="FF00B050"/>
  </sheetPr>
  <dimension ref="A2:G102"/>
  <sheetViews>
    <sheetView showGridLines="0" topLeftCell="B24" zoomScale="80" zoomScaleNormal="80" workbookViewId="0">
      <selection activeCell="C17" sqref="C17"/>
    </sheetView>
  </sheetViews>
  <sheetFormatPr defaultColWidth="9.109375" defaultRowHeight="14.4" x14ac:dyDescent="0.3"/>
  <cols>
    <col min="1" max="1" width="3.21875" customWidth="1"/>
    <col min="2" max="2" width="36.77734375" customWidth="1"/>
    <col min="3" max="3" width="195.21875" style="6" customWidth="1"/>
    <col min="4" max="4" width="80.5546875" customWidth="1"/>
  </cols>
  <sheetData>
    <row r="2" spans="1:7" ht="12" customHeight="1" x14ac:dyDescent="0.6">
      <c r="A2" s="71"/>
    </row>
    <row r="3" spans="1:7" ht="31.2" x14ac:dyDescent="0.6">
      <c r="A3" s="71"/>
      <c r="B3" s="71" t="s">
        <v>464</v>
      </c>
      <c r="D3" s="71"/>
      <c r="G3" s="71"/>
    </row>
    <row r="5" spans="1:7" ht="21.6" thickBot="1" x14ac:dyDescent="0.45">
      <c r="B5" s="70" t="s">
        <v>467</v>
      </c>
      <c r="C5" s="666"/>
    </row>
    <row r="6" spans="1:7" ht="66.75" customHeight="1" x14ac:dyDescent="0.3">
      <c r="B6" s="686" t="s">
        <v>520</v>
      </c>
      <c r="C6" s="667" t="s">
        <v>521</v>
      </c>
    </row>
    <row r="7" spans="1:7" x14ac:dyDescent="0.3">
      <c r="B7" s="668" t="s">
        <v>522</v>
      </c>
      <c r="C7" s="146" t="s">
        <v>523</v>
      </c>
    </row>
    <row r="8" spans="1:7" x14ac:dyDescent="0.3">
      <c r="B8" s="687"/>
      <c r="C8"/>
    </row>
    <row r="9" spans="1:7" ht="28.8" x14ac:dyDescent="0.3">
      <c r="B9" s="668" t="s">
        <v>524</v>
      </c>
      <c r="C9" s="6" t="s">
        <v>525</v>
      </c>
    </row>
    <row r="10" spans="1:7" x14ac:dyDescent="0.3">
      <c r="B10" s="688"/>
      <c r="C10" s="688" t="s">
        <v>526</v>
      </c>
    </row>
    <row r="11" spans="1:7" x14ac:dyDescent="0.3">
      <c r="B11" s="688"/>
      <c r="C11" s="688"/>
    </row>
    <row r="12" spans="1:7" x14ac:dyDescent="0.3">
      <c r="B12" s="686" t="s">
        <v>527</v>
      </c>
      <c r="C12" s="684" t="s">
        <v>528</v>
      </c>
    </row>
    <row r="13" spans="1:7" x14ac:dyDescent="0.3">
      <c r="B13" s="686"/>
      <c r="C13" s="669" t="s">
        <v>529</v>
      </c>
    </row>
    <row r="14" spans="1:7" x14ac:dyDescent="0.3">
      <c r="B14" s="686"/>
      <c r="C14" s="3"/>
    </row>
    <row r="15" spans="1:7" ht="51.75" customHeight="1" x14ac:dyDescent="0.3">
      <c r="B15" s="686" t="s">
        <v>530</v>
      </c>
      <c r="C15" s="3" t="s">
        <v>531</v>
      </c>
    </row>
    <row r="16" spans="1:7" x14ac:dyDescent="0.3">
      <c r="B16" s="686"/>
      <c r="C16" s="3"/>
    </row>
    <row r="17" spans="2:4" ht="117.75" customHeight="1" x14ac:dyDescent="0.3">
      <c r="B17" s="686" t="s">
        <v>532</v>
      </c>
      <c r="C17" s="786" t="s">
        <v>533</v>
      </c>
    </row>
    <row r="18" spans="2:4" x14ac:dyDescent="0.3">
      <c r="B18" s="691" t="s">
        <v>534</v>
      </c>
      <c r="C18" s="3" t="s">
        <v>535</v>
      </c>
      <c r="D18" s="3"/>
    </row>
    <row r="19" spans="2:4" x14ac:dyDescent="0.3">
      <c r="B19" s="686"/>
      <c r="C19" s="3"/>
    </row>
    <row r="20" spans="2:4" ht="121.5" customHeight="1" x14ac:dyDescent="0.3">
      <c r="B20" s="686" t="s">
        <v>536</v>
      </c>
      <c r="C20" s="690" t="s">
        <v>537</v>
      </c>
    </row>
    <row r="21" spans="2:4" x14ac:dyDescent="0.3">
      <c r="B21" s="686"/>
      <c r="C21" s="689"/>
    </row>
    <row r="22" spans="2:4" ht="51.75" customHeight="1" x14ac:dyDescent="0.3">
      <c r="B22" s="686" t="s">
        <v>538</v>
      </c>
      <c r="C22" s="786" t="s">
        <v>539</v>
      </c>
    </row>
    <row r="23" spans="2:4" x14ac:dyDescent="0.3">
      <c r="B23" s="686"/>
      <c r="C23" s="3"/>
    </row>
    <row r="24" spans="2:4" ht="86.25" customHeight="1" x14ac:dyDescent="0.3">
      <c r="B24" s="686" t="s">
        <v>540</v>
      </c>
      <c r="C24" s="3" t="s">
        <v>541</v>
      </c>
    </row>
    <row r="25" spans="2:4" x14ac:dyDescent="0.3">
      <c r="B25" s="686"/>
      <c r="C25" s="3"/>
    </row>
    <row r="26" spans="2:4" ht="75.599999999999994" x14ac:dyDescent="0.3">
      <c r="B26" s="686" t="s">
        <v>542</v>
      </c>
      <c r="C26" s="685" t="s">
        <v>543</v>
      </c>
    </row>
    <row r="27" spans="2:4" x14ac:dyDescent="0.3">
      <c r="B27" s="686"/>
      <c r="C27" s="3"/>
    </row>
    <row r="28" spans="2:4" ht="87" customHeight="1" x14ac:dyDescent="0.3">
      <c r="B28" s="686" t="s">
        <v>544</v>
      </c>
      <c r="C28" s="802" t="s">
        <v>545</v>
      </c>
    </row>
    <row r="29" spans="2:4" x14ac:dyDescent="0.3">
      <c r="B29" s="686"/>
      <c r="C29" s="3"/>
    </row>
    <row r="30" spans="2:4" x14ac:dyDescent="0.3">
      <c r="B30" s="686"/>
      <c r="C30" s="669"/>
    </row>
    <row r="31" spans="2:4" ht="56.25" customHeight="1" x14ac:dyDescent="0.3">
      <c r="B31" s="686" t="s">
        <v>546</v>
      </c>
      <c r="C31" s="3" t="s">
        <v>547</v>
      </c>
    </row>
    <row r="32" spans="2:4" x14ac:dyDescent="0.3">
      <c r="B32" s="686"/>
      <c r="C32" s="3"/>
    </row>
    <row r="33" spans="2:4" ht="144" x14ac:dyDescent="0.3">
      <c r="B33" s="691" t="s">
        <v>27</v>
      </c>
      <c r="C33" s="825" t="s">
        <v>548</v>
      </c>
      <c r="D33" s="3"/>
    </row>
    <row r="34" spans="2:4" x14ac:dyDescent="0.3">
      <c r="B34" s="691"/>
      <c r="C34" s="3"/>
      <c r="D34" s="3"/>
    </row>
    <row r="35" spans="2:4" ht="16.2" x14ac:dyDescent="0.3">
      <c r="B35" s="691" t="s">
        <v>549</v>
      </c>
      <c r="C35" s="3" t="s">
        <v>550</v>
      </c>
      <c r="D35" s="3"/>
    </row>
    <row r="36" spans="2:4" x14ac:dyDescent="0.3">
      <c r="B36" s="691"/>
      <c r="C36" s="3"/>
      <c r="D36" s="3"/>
    </row>
    <row r="37" spans="2:4" ht="28.8" x14ac:dyDescent="0.3">
      <c r="B37" s="686" t="s">
        <v>551</v>
      </c>
      <c r="C37" s="3" t="s">
        <v>552</v>
      </c>
      <c r="D37" s="3"/>
    </row>
    <row r="38" spans="2:4" x14ac:dyDescent="0.3">
      <c r="B38" s="686"/>
      <c r="C38" s="3"/>
      <c r="D38" s="3"/>
    </row>
    <row r="39" spans="2:4" ht="28.8" x14ac:dyDescent="0.3">
      <c r="B39" s="686" t="s">
        <v>553</v>
      </c>
      <c r="C39" s="3" t="s">
        <v>554</v>
      </c>
      <c r="D39" s="3"/>
    </row>
    <row r="40" spans="2:4" x14ac:dyDescent="0.3">
      <c r="B40" s="691"/>
      <c r="C40" s="3"/>
      <c r="D40" s="3"/>
    </row>
    <row r="41" spans="2:4" ht="43.2" x14ac:dyDescent="0.3">
      <c r="B41" s="691" t="s">
        <v>54</v>
      </c>
      <c r="C41" s="3" t="s">
        <v>555</v>
      </c>
      <c r="D41" s="3"/>
    </row>
    <row r="42" spans="2:4" ht="28.8" x14ac:dyDescent="0.3">
      <c r="B42" s="691" t="s">
        <v>61</v>
      </c>
      <c r="C42" s="3" t="s">
        <v>556</v>
      </c>
      <c r="D42" s="3"/>
    </row>
    <row r="43" spans="2:4" x14ac:dyDescent="0.3">
      <c r="B43" s="686"/>
      <c r="C43" s="3"/>
      <c r="D43" s="3"/>
    </row>
    <row r="44" spans="2:4" ht="56.25" customHeight="1" x14ac:dyDescent="0.3">
      <c r="B44" s="686" t="s">
        <v>557</v>
      </c>
      <c r="C44" s="786" t="s">
        <v>558</v>
      </c>
      <c r="D44" s="3"/>
    </row>
    <row r="45" spans="2:4" ht="54" customHeight="1" x14ac:dyDescent="0.3">
      <c r="B45" s="686" t="s">
        <v>559</v>
      </c>
      <c r="C45" s="786" t="s">
        <v>560</v>
      </c>
      <c r="D45" s="3"/>
    </row>
    <row r="46" spans="2:4" ht="126" customHeight="1" x14ac:dyDescent="0.3">
      <c r="B46" s="686" t="s">
        <v>561</v>
      </c>
      <c r="C46" s="825" t="s">
        <v>562</v>
      </c>
      <c r="D46" s="692"/>
    </row>
    <row r="47" spans="2:4" x14ac:dyDescent="0.3">
      <c r="B47" s="686"/>
      <c r="C47" s="3"/>
      <c r="D47" s="692"/>
    </row>
    <row r="48" spans="2:4" ht="130.5" customHeight="1" x14ac:dyDescent="0.3">
      <c r="B48" s="686" t="s">
        <v>563</v>
      </c>
      <c r="C48" s="667" t="s">
        <v>564</v>
      </c>
      <c r="D48" s="692"/>
    </row>
    <row r="49" spans="2:4" x14ac:dyDescent="0.3">
      <c r="B49" s="686"/>
      <c r="C49" s="3"/>
      <c r="D49" s="692"/>
    </row>
    <row r="50" spans="2:4" ht="114.75" customHeight="1" x14ac:dyDescent="0.3">
      <c r="B50" s="686" t="s">
        <v>565</v>
      </c>
      <c r="C50" s="667" t="s">
        <v>566</v>
      </c>
      <c r="D50" s="3"/>
    </row>
    <row r="51" spans="2:4" x14ac:dyDescent="0.3">
      <c r="B51" s="686"/>
      <c r="C51" s="3"/>
      <c r="D51" s="3"/>
    </row>
    <row r="52" spans="2:4" ht="95.25" customHeight="1" x14ac:dyDescent="0.3">
      <c r="B52" s="686" t="s">
        <v>567</v>
      </c>
      <c r="C52" s="667" t="s">
        <v>568</v>
      </c>
      <c r="D52" s="3"/>
    </row>
    <row r="53" spans="2:4" x14ac:dyDescent="0.3">
      <c r="B53" s="686"/>
      <c r="C53" s="3"/>
      <c r="D53" s="3"/>
    </row>
    <row r="54" spans="2:4" ht="187.2" x14ac:dyDescent="0.3">
      <c r="B54" s="686" t="s">
        <v>569</v>
      </c>
      <c r="C54" s="667" t="s">
        <v>570</v>
      </c>
      <c r="D54" s="3"/>
    </row>
    <row r="55" spans="2:4" x14ac:dyDescent="0.3">
      <c r="B55" s="686"/>
      <c r="C55" s="3"/>
      <c r="D55" s="3"/>
    </row>
    <row r="56" spans="2:4" ht="167.25" customHeight="1" x14ac:dyDescent="0.3">
      <c r="B56" s="686" t="s">
        <v>571</v>
      </c>
      <c r="C56" s="667" t="s">
        <v>572</v>
      </c>
      <c r="D56" s="3"/>
    </row>
    <row r="57" spans="2:4" x14ac:dyDescent="0.3">
      <c r="B57" s="686"/>
      <c r="C57" s="3"/>
      <c r="D57" s="3"/>
    </row>
    <row r="58" spans="2:4" ht="153.75" customHeight="1" x14ac:dyDescent="0.3">
      <c r="B58" s="686" t="s">
        <v>573</v>
      </c>
      <c r="C58" s="667" t="s">
        <v>574</v>
      </c>
      <c r="D58" s="3"/>
    </row>
    <row r="59" spans="2:4" ht="53.25" customHeight="1" x14ac:dyDescent="0.3">
      <c r="B59" s="691" t="s">
        <v>112</v>
      </c>
      <c r="C59" s="3" t="s">
        <v>575</v>
      </c>
      <c r="D59" s="3"/>
    </row>
    <row r="60" spans="2:4" x14ac:dyDescent="0.3">
      <c r="B60" s="691"/>
      <c r="C60" s="3"/>
      <c r="D60" s="3"/>
    </row>
    <row r="61" spans="2:4" ht="53.25" customHeight="1" x14ac:dyDescent="0.3">
      <c r="B61" s="691" t="s">
        <v>119</v>
      </c>
      <c r="C61" s="3" t="s">
        <v>576</v>
      </c>
      <c r="D61" s="3"/>
    </row>
    <row r="62" spans="2:4" x14ac:dyDescent="0.3">
      <c r="B62" s="691"/>
      <c r="C62" s="3"/>
      <c r="D62" s="3"/>
    </row>
    <row r="63" spans="2:4" ht="51" customHeight="1" x14ac:dyDescent="0.3">
      <c r="B63" s="691" t="s">
        <v>121</v>
      </c>
      <c r="C63" s="3" t="s">
        <v>577</v>
      </c>
      <c r="D63" s="3"/>
    </row>
    <row r="64" spans="2:4" x14ac:dyDescent="0.3">
      <c r="B64" s="693"/>
      <c r="C64" s="3"/>
      <c r="D64" s="3"/>
    </row>
    <row r="65" spans="2:4" ht="52.5" customHeight="1" x14ac:dyDescent="0.3">
      <c r="B65" s="691" t="s">
        <v>142</v>
      </c>
      <c r="C65" s="684" t="s">
        <v>578</v>
      </c>
      <c r="D65" s="3"/>
    </row>
    <row r="66" spans="2:4" ht="50.25" customHeight="1" x14ac:dyDescent="0.3">
      <c r="B66" s="691" t="s">
        <v>147</v>
      </c>
      <c r="C66" s="684" t="s">
        <v>579</v>
      </c>
      <c r="D66" s="3"/>
    </row>
    <row r="67" spans="2:4" ht="48" customHeight="1" x14ac:dyDescent="0.3">
      <c r="B67" s="691" t="s">
        <v>150</v>
      </c>
      <c r="C67" s="3" t="s">
        <v>580</v>
      </c>
      <c r="D67" s="3"/>
    </row>
    <row r="68" spans="2:4" x14ac:dyDescent="0.3">
      <c r="B68" s="691"/>
      <c r="C68" s="146"/>
      <c r="D68" s="3"/>
    </row>
    <row r="69" spans="2:4" ht="54" customHeight="1" x14ac:dyDescent="0.3">
      <c r="B69" s="691" t="s">
        <v>158</v>
      </c>
      <c r="C69" s="3" t="s">
        <v>581</v>
      </c>
      <c r="D69" s="3"/>
    </row>
    <row r="70" spans="2:4" x14ac:dyDescent="0.3">
      <c r="B70" s="691"/>
      <c r="C70" s="146"/>
      <c r="D70" s="3"/>
    </row>
    <row r="71" spans="2:4" ht="76.5" customHeight="1" x14ac:dyDescent="0.3">
      <c r="B71" s="691" t="s">
        <v>582</v>
      </c>
      <c r="C71" s="3" t="s">
        <v>583</v>
      </c>
      <c r="D71" s="3"/>
    </row>
    <row r="72" spans="2:4" x14ac:dyDescent="0.3">
      <c r="B72" s="691"/>
      <c r="C72" s="3"/>
      <c r="D72" s="3"/>
    </row>
    <row r="73" spans="2:4" ht="51" customHeight="1" x14ac:dyDescent="0.3">
      <c r="B73" s="691" t="s">
        <v>584</v>
      </c>
      <c r="C73" s="3" t="s">
        <v>585</v>
      </c>
      <c r="D73" s="3"/>
    </row>
    <row r="74" spans="2:4" x14ac:dyDescent="0.3">
      <c r="B74" s="691"/>
      <c r="C74" s="3"/>
      <c r="D74" s="3"/>
    </row>
    <row r="75" spans="2:4" ht="53.25" customHeight="1" x14ac:dyDescent="0.3">
      <c r="B75" s="686" t="s">
        <v>586</v>
      </c>
      <c r="C75" s="3" t="s">
        <v>587</v>
      </c>
      <c r="D75" s="3"/>
    </row>
    <row r="76" spans="2:4" x14ac:dyDescent="0.3">
      <c r="B76" s="686"/>
      <c r="C76" s="3"/>
      <c r="D76" s="3"/>
    </row>
    <row r="77" spans="2:4" ht="49.5" customHeight="1" x14ac:dyDescent="0.3">
      <c r="B77" s="686" t="s">
        <v>588</v>
      </c>
      <c r="C77" s="3" t="s">
        <v>589</v>
      </c>
      <c r="D77" s="3"/>
    </row>
    <row r="78" spans="2:4" x14ac:dyDescent="0.3">
      <c r="B78" s="691"/>
      <c r="C78" s="146"/>
      <c r="D78" s="3"/>
    </row>
    <row r="79" spans="2:4" ht="49.5" customHeight="1" x14ac:dyDescent="0.3">
      <c r="B79" s="691" t="s">
        <v>590</v>
      </c>
      <c r="C79" s="3" t="s">
        <v>591</v>
      </c>
      <c r="D79" s="3"/>
    </row>
    <row r="80" spans="2:4" x14ac:dyDescent="0.3">
      <c r="B80" s="691"/>
      <c r="C80" s="3"/>
      <c r="D80" s="3"/>
    </row>
    <row r="81" spans="2:4" ht="15.75" customHeight="1" x14ac:dyDescent="0.3">
      <c r="B81" s="691" t="s">
        <v>592</v>
      </c>
      <c r="C81" s="694" t="s">
        <v>593</v>
      </c>
      <c r="D81" s="3"/>
    </row>
    <row r="82" spans="2:4" x14ac:dyDescent="0.3">
      <c r="B82" s="691"/>
      <c r="C82" s="3"/>
      <c r="D82" s="3"/>
    </row>
    <row r="83" spans="2:4" ht="93" customHeight="1" x14ac:dyDescent="0.3">
      <c r="B83" s="691" t="s">
        <v>594</v>
      </c>
      <c r="C83" s="3" t="s">
        <v>595</v>
      </c>
      <c r="D83" s="3"/>
    </row>
    <row r="84" spans="2:4" x14ac:dyDescent="0.3">
      <c r="B84" s="691"/>
      <c r="C84" s="146"/>
      <c r="D84" s="3"/>
    </row>
    <row r="85" spans="2:4" ht="72" x14ac:dyDescent="0.3">
      <c r="B85" s="691" t="s">
        <v>596</v>
      </c>
      <c r="C85" s="3" t="s">
        <v>597</v>
      </c>
      <c r="D85" s="3"/>
    </row>
    <row r="86" spans="2:4" x14ac:dyDescent="0.3">
      <c r="B86" s="691"/>
      <c r="C86" s="3"/>
      <c r="D86" s="3"/>
    </row>
    <row r="87" spans="2:4" ht="43.2" x14ac:dyDescent="0.3">
      <c r="B87" s="686" t="s">
        <v>598</v>
      </c>
      <c r="C87" s="3" t="s">
        <v>599</v>
      </c>
      <c r="D87" s="3"/>
    </row>
    <row r="88" spans="2:4" x14ac:dyDescent="0.3">
      <c r="B88" s="691"/>
      <c r="C88" s="3"/>
      <c r="D88" s="3"/>
    </row>
    <row r="89" spans="2:4" ht="50.25" customHeight="1" x14ac:dyDescent="0.3">
      <c r="B89" s="691" t="s">
        <v>600</v>
      </c>
      <c r="C89" s="3" t="s">
        <v>601</v>
      </c>
      <c r="D89" s="3"/>
    </row>
    <row r="90" spans="2:4" x14ac:dyDescent="0.3">
      <c r="B90" s="691"/>
      <c r="C90" s="3"/>
      <c r="D90" s="3"/>
    </row>
    <row r="91" spans="2:4" ht="43.2" x14ac:dyDescent="0.3">
      <c r="B91" s="691" t="s">
        <v>602</v>
      </c>
      <c r="C91" s="3" t="s">
        <v>603</v>
      </c>
      <c r="D91" s="3"/>
    </row>
    <row r="92" spans="2:4" x14ac:dyDescent="0.3">
      <c r="B92" s="691"/>
      <c r="C92" s="146"/>
      <c r="D92" s="3"/>
    </row>
    <row r="93" spans="2:4" ht="64.5" customHeight="1" x14ac:dyDescent="0.3">
      <c r="B93" s="691" t="s">
        <v>604</v>
      </c>
      <c r="C93" s="3" t="s">
        <v>605</v>
      </c>
      <c r="D93" s="3"/>
    </row>
    <row r="94" spans="2:4" ht="14.25" customHeight="1" x14ac:dyDescent="0.3">
      <c r="B94" s="691"/>
      <c r="C94" s="146"/>
      <c r="D94" s="3"/>
    </row>
    <row r="95" spans="2:4" ht="57.6" x14ac:dyDescent="0.3">
      <c r="B95" s="686" t="s">
        <v>606</v>
      </c>
      <c r="C95" s="3" t="s">
        <v>607</v>
      </c>
      <c r="D95" s="3"/>
    </row>
    <row r="96" spans="2:4" x14ac:dyDescent="0.3">
      <c r="B96" s="686"/>
      <c r="C96" s="3"/>
      <c r="D96" s="3"/>
    </row>
    <row r="97" spans="2:4" ht="57.6" x14ac:dyDescent="0.3">
      <c r="B97" s="686" t="s">
        <v>608</v>
      </c>
      <c r="C97" s="3" t="s">
        <v>609</v>
      </c>
      <c r="D97" s="3"/>
    </row>
    <row r="98" spans="2:4" x14ac:dyDescent="0.3">
      <c r="B98" s="686"/>
      <c r="C98" s="3"/>
      <c r="D98" s="3"/>
    </row>
    <row r="99" spans="2:4" ht="57.6" x14ac:dyDescent="0.3">
      <c r="B99" s="686" t="s">
        <v>610</v>
      </c>
      <c r="C99" s="3" t="s">
        <v>611</v>
      </c>
      <c r="D99" s="3"/>
    </row>
    <row r="100" spans="2:4" x14ac:dyDescent="0.3">
      <c r="B100" s="686"/>
      <c r="C100" s="3"/>
      <c r="D100" s="3"/>
    </row>
    <row r="101" spans="2:4" ht="57.6" x14ac:dyDescent="0.3">
      <c r="B101" s="691" t="s">
        <v>612</v>
      </c>
      <c r="C101" s="3" t="s">
        <v>613</v>
      </c>
      <c r="D101" s="3"/>
    </row>
    <row r="102" spans="2:4" x14ac:dyDescent="0.3">
      <c r="B102" s="62"/>
      <c r="C102" s="670"/>
    </row>
  </sheetData>
  <sheetProtection sheet="1" objects="1" scenarios="1"/>
  <hyperlinks>
    <hyperlink ref="C13" r:id="rId1" xr:uid="{0E4A05BB-A788-4A63-B60A-E042FA81E1E7}"/>
    <hyperlink ref="C10" r:id="rId2" xr:uid="{B7886FCD-756D-4088-94A4-20C06980AB43}"/>
  </hyperlinks>
  <pageMargins left="0.7" right="0.7" top="0.75" bottom="0.75" header="0.3" footer="0.3"/>
  <pageSetup paperSize="9" orientation="portrait" horizontalDpi="4294967293" verticalDpi="120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1C0E-82C6-4951-B169-6A6AA0DB8C03}">
  <sheetPr>
    <tabColor rgb="FF00B050"/>
  </sheetPr>
  <dimension ref="A2:G62"/>
  <sheetViews>
    <sheetView showGridLines="0" topLeftCell="A14" zoomScale="85" zoomScaleNormal="85" workbookViewId="0">
      <selection activeCell="L53" sqref="L53"/>
    </sheetView>
  </sheetViews>
  <sheetFormatPr defaultRowHeight="15" customHeight="1" x14ac:dyDescent="0.3"/>
  <cols>
    <col min="1" max="1" width="4.44140625" customWidth="1"/>
    <col min="2" max="2" width="54.21875" customWidth="1"/>
    <col min="3" max="3" width="15.44140625" customWidth="1"/>
    <col min="4" max="4" width="22.77734375" customWidth="1"/>
    <col min="5" max="5" width="18.109375" customWidth="1"/>
    <col min="6" max="6" width="13.44140625" customWidth="1"/>
    <col min="7" max="7" width="18.77734375" customWidth="1"/>
    <col min="8" max="8" width="13.109375" bestFit="1" customWidth="1"/>
    <col min="9" max="9" width="9" bestFit="1" customWidth="1"/>
  </cols>
  <sheetData>
    <row r="2" spans="1:7" ht="12" customHeight="1" x14ac:dyDescent="0.6">
      <c r="A2" s="71"/>
    </row>
    <row r="3" spans="1:7" ht="31.2" x14ac:dyDescent="0.6">
      <c r="A3" s="71"/>
      <c r="B3" s="71" t="s">
        <v>464</v>
      </c>
    </row>
    <row r="5" spans="1:7" ht="21" x14ac:dyDescent="0.4">
      <c r="B5" s="162" t="s">
        <v>614</v>
      </c>
      <c r="C5" s="163" t="s">
        <v>356</v>
      </c>
      <c r="D5" s="163"/>
      <c r="E5" s="163"/>
      <c r="F5" s="163" t="s">
        <v>356</v>
      </c>
    </row>
    <row r="6" spans="1:7" ht="14.4" x14ac:dyDescent="0.3">
      <c r="B6" s="164"/>
      <c r="C6" s="164"/>
      <c r="D6" s="164"/>
      <c r="E6" s="164"/>
      <c r="F6" s="164"/>
    </row>
    <row r="7" spans="1:7" ht="15.6" x14ac:dyDescent="0.3">
      <c r="B7" s="165" t="s">
        <v>615</v>
      </c>
      <c r="C7" s="165" t="s">
        <v>9</v>
      </c>
      <c r="D7" s="165">
        <v>2025</v>
      </c>
      <c r="E7" s="165">
        <v>2024</v>
      </c>
      <c r="F7" s="165" t="s">
        <v>616</v>
      </c>
    </row>
    <row r="8" spans="1:7" ht="15" customHeight="1" x14ac:dyDescent="0.3">
      <c r="B8" s="164" t="s">
        <v>617</v>
      </c>
      <c r="C8" s="164" t="s">
        <v>35</v>
      </c>
      <c r="D8" s="88">
        <f>'2025 Electricity (2)'!I50</f>
        <v>11170213.632254519</v>
      </c>
      <c r="E8" s="405">
        <v>10125790.078</v>
      </c>
      <c r="F8" s="72">
        <f>(D8-E8)/E8</f>
        <v>0.10314489498688172</v>
      </c>
    </row>
    <row r="9" spans="1:7" ht="15" customHeight="1" x14ac:dyDescent="0.3">
      <c r="B9" s="164" t="s">
        <v>1596</v>
      </c>
      <c r="C9" s="164" t="s">
        <v>35</v>
      </c>
      <c r="D9" s="405">
        <f>'2025 Electricity (2)'!I59</f>
        <v>17770.355650000001</v>
      </c>
      <c r="E9" s="405">
        <v>48562.913</v>
      </c>
      <c r="F9" s="72">
        <f t="shared" ref="F9:F15" si="0">(D9-E9)/E9</f>
        <v>-0.63407558253352714</v>
      </c>
    </row>
    <row r="10" spans="1:7" ht="15" customHeight="1" x14ac:dyDescent="0.3">
      <c r="B10" s="164" t="s">
        <v>618</v>
      </c>
      <c r="C10" s="164" t="s">
        <v>35</v>
      </c>
      <c r="D10" s="88">
        <f>'2025 Electricity (2)'!I55</f>
        <v>6536316.9352120198</v>
      </c>
      <c r="E10" s="405">
        <v>6647841.7029900001</v>
      </c>
      <c r="F10" s="72">
        <f t="shared" si="0"/>
        <v>-1.6776086549687218E-2</v>
      </c>
    </row>
    <row r="11" spans="1:7" ht="15" customHeight="1" x14ac:dyDescent="0.3">
      <c r="B11" s="164" t="s">
        <v>619</v>
      </c>
      <c r="C11" s="164" t="s">
        <v>117</v>
      </c>
      <c r="D11" s="518">
        <f>(D9+D10)/D8</f>
        <v>0.58674681672486406</v>
      </c>
      <c r="E11" s="408">
        <v>0.66</v>
      </c>
      <c r="F11" s="72">
        <f t="shared" si="0"/>
        <v>-0.11098967162899388</v>
      </c>
    </row>
    <row r="12" spans="1:7" ht="15" customHeight="1" x14ac:dyDescent="0.3">
      <c r="B12" s="164" t="s">
        <v>620</v>
      </c>
      <c r="C12" s="164" t="s">
        <v>35</v>
      </c>
      <c r="D12" s="88">
        <f>'2025 Electricity (2)'!I51</f>
        <v>11088939.833254518</v>
      </c>
      <c r="E12" s="405">
        <f>'2025 Electricity (2)'!H51</f>
        <v>9606332.8429999985</v>
      </c>
      <c r="F12" s="72">
        <f t="shared" si="0"/>
        <v>0.15433641687055166</v>
      </c>
      <c r="G12" s="298"/>
    </row>
    <row r="13" spans="1:7" ht="15" customHeight="1" x14ac:dyDescent="0.3">
      <c r="B13" s="164" t="s">
        <v>621</v>
      </c>
      <c r="C13" s="164" t="s">
        <v>35</v>
      </c>
      <c r="D13" s="88">
        <f>'Gas Building Totals 2025'!H24</f>
        <v>5330965.2953349147</v>
      </c>
      <c r="E13" s="405">
        <v>6978849.7299922276</v>
      </c>
      <c r="F13" s="72">
        <f t="shared" si="0"/>
        <v>-0.23612550755683748</v>
      </c>
    </row>
    <row r="14" spans="1:7" ht="15" customHeight="1" x14ac:dyDescent="0.3">
      <c r="B14" s="164" t="s">
        <v>622</v>
      </c>
      <c r="C14" s="164" t="s">
        <v>35</v>
      </c>
      <c r="D14" s="88">
        <f>'Gas Building Totals 2025'!H25</f>
        <v>5202539.3603349151</v>
      </c>
      <c r="E14" s="405">
        <f>'Gas Building Totals 2025'!I25</f>
        <v>6713618</v>
      </c>
      <c r="F14" s="72">
        <f t="shared" si="0"/>
        <v>-0.22507664863641108</v>
      </c>
    </row>
    <row r="15" spans="1:7" ht="15" customHeight="1" x14ac:dyDescent="0.3">
      <c r="B15" s="164" t="s">
        <v>623</v>
      </c>
      <c r="C15" s="164" t="s">
        <v>35</v>
      </c>
      <c r="D15" s="88">
        <f>SUM(D8,D13)</f>
        <v>16501178.927589433</v>
      </c>
      <c r="E15" s="405">
        <f>SUM(E8,E13)</f>
        <v>17104639.807992227</v>
      </c>
      <c r="F15" s="72">
        <f t="shared" si="0"/>
        <v>-3.5280537162836016E-2</v>
      </c>
    </row>
    <row r="16" spans="1:7" ht="15" customHeight="1" x14ac:dyDescent="0.3">
      <c r="B16" s="164"/>
      <c r="C16" s="164"/>
      <c r="D16" s="164"/>
      <c r="E16" s="405"/>
      <c r="F16" s="164"/>
    </row>
    <row r="17" spans="2:7" ht="15" customHeight="1" x14ac:dyDescent="0.4">
      <c r="B17" s="162" t="s">
        <v>624</v>
      </c>
      <c r="C17" s="163" t="s">
        <v>356</v>
      </c>
      <c r="D17" s="163"/>
      <c r="E17" s="406" t="s">
        <v>356</v>
      </c>
      <c r="F17" s="163" t="s">
        <v>356</v>
      </c>
    </row>
    <row r="18" spans="2:7" ht="15" customHeight="1" x14ac:dyDescent="0.3">
      <c r="B18" s="164"/>
      <c r="C18" s="164"/>
      <c r="D18" s="164"/>
      <c r="E18" s="405"/>
      <c r="F18" s="164"/>
    </row>
    <row r="19" spans="2:7" ht="15" customHeight="1" x14ac:dyDescent="0.3">
      <c r="B19" s="165" t="s">
        <v>615</v>
      </c>
      <c r="C19" s="165" t="s">
        <v>9</v>
      </c>
      <c r="D19" s="165">
        <v>2025</v>
      </c>
      <c r="E19" s="165">
        <v>2024</v>
      </c>
      <c r="F19" s="165" t="s">
        <v>616</v>
      </c>
    </row>
    <row r="20" spans="2:7" ht="15" customHeight="1" x14ac:dyDescent="0.3">
      <c r="B20" s="164" t="s">
        <v>625</v>
      </c>
      <c r="C20" s="164" t="s">
        <v>35</v>
      </c>
      <c r="D20" s="88">
        <f>'2025 Electricity (2)'!I62 + '2025 Electricity (2)'!I64</f>
        <v>2589858.8403407796</v>
      </c>
      <c r="E20" s="405">
        <v>2271089.2590000001</v>
      </c>
      <c r="F20" s="72">
        <f>(D20-E20)/E20</f>
        <v>0.14035977673600522</v>
      </c>
    </row>
    <row r="21" spans="2:7" ht="15" customHeight="1" x14ac:dyDescent="0.3">
      <c r="B21" s="164" t="s">
        <v>626</v>
      </c>
      <c r="C21" s="164" t="s">
        <v>35</v>
      </c>
      <c r="D21" s="88">
        <f>'2025 Electricity (2)'!I73</f>
        <v>17770.355650000001</v>
      </c>
      <c r="E21" s="405">
        <v>48562.913</v>
      </c>
      <c r="F21" s="72">
        <f t="shared" ref="F21:F35" si="1">(D21-E21)/E21</f>
        <v>-0.63407558253352714</v>
      </c>
    </row>
    <row r="22" spans="2:7" ht="15" customHeight="1" x14ac:dyDescent="0.3">
      <c r="B22" s="164" t="s">
        <v>618</v>
      </c>
      <c r="C22" s="164" t="s">
        <v>35</v>
      </c>
      <c r="D22" s="88">
        <f>'2025 Electricity (2)'!I68</f>
        <v>2572088.4846907798</v>
      </c>
      <c r="E22" s="405">
        <v>2222526.3459999999</v>
      </c>
      <c r="F22" s="72">
        <f t="shared" si="1"/>
        <v>0.1572814375496181</v>
      </c>
    </row>
    <row r="23" spans="2:7" ht="15" customHeight="1" x14ac:dyDescent="0.3">
      <c r="B23" s="164" t="s">
        <v>619</v>
      </c>
      <c r="C23" s="164" t="s">
        <v>117</v>
      </c>
      <c r="D23" s="408">
        <f>(D21+D22)/D20</f>
        <v>1</v>
      </c>
      <c r="E23" s="408">
        <v>1</v>
      </c>
      <c r="F23" s="72">
        <f t="shared" si="1"/>
        <v>0</v>
      </c>
    </row>
    <row r="24" spans="2:7" ht="15" customHeight="1" x14ac:dyDescent="0.3">
      <c r="B24" s="164" t="s">
        <v>627</v>
      </c>
      <c r="C24" s="164" t="s">
        <v>35</v>
      </c>
      <c r="D24" s="405">
        <f>'2025 Electricity (2)'!I63</f>
        <v>3311921.8525212402</v>
      </c>
      <c r="E24" s="405">
        <v>4003127.764</v>
      </c>
      <c r="F24" s="72">
        <f t="shared" si="1"/>
        <v>-0.17266646288303672</v>
      </c>
    </row>
    <row r="25" spans="2:7" ht="15" customHeight="1" x14ac:dyDescent="0.3">
      <c r="B25" s="164" t="s">
        <v>618</v>
      </c>
      <c r="C25" s="164" t="s">
        <v>35</v>
      </c>
      <c r="D25" s="405">
        <f>'2025 Electricity (2)'!I69</f>
        <v>2324576.5505212401</v>
      </c>
      <c r="E25" s="405">
        <v>2978632.3569900002</v>
      </c>
      <c r="F25" s="72">
        <f t="shared" si="1"/>
        <v>-0.21958258961831184</v>
      </c>
    </row>
    <row r="26" spans="2:7" ht="15" customHeight="1" x14ac:dyDescent="0.3">
      <c r="B26" s="164" t="s">
        <v>628</v>
      </c>
      <c r="C26" s="164" t="s">
        <v>35</v>
      </c>
      <c r="D26" s="405">
        <f>'2025 Electricity (2)'!I66</f>
        <v>5901780.6928620208</v>
      </c>
      <c r="E26" s="405">
        <v>6274217.023</v>
      </c>
      <c r="F26" s="72">
        <f t="shared" si="1"/>
        <v>-5.9359809960781336E-2</v>
      </c>
    </row>
    <row r="27" spans="2:7" ht="15" customHeight="1" x14ac:dyDescent="0.3">
      <c r="B27" s="164" t="s">
        <v>629</v>
      </c>
      <c r="C27" s="164" t="s">
        <v>35</v>
      </c>
      <c r="D27" s="405">
        <f>'2025 Electricity (2)'!I71 + '2025 Electricity (2)'!I73</f>
        <v>4914435.3908620197</v>
      </c>
      <c r="E27" s="405">
        <v>5249721.6159899998</v>
      </c>
      <c r="F27" s="72">
        <f t="shared" si="1"/>
        <v>-6.3867429485544511E-2</v>
      </c>
    </row>
    <row r="28" spans="2:7" ht="15" customHeight="1" x14ac:dyDescent="0.3">
      <c r="B28" s="164" t="s">
        <v>619</v>
      </c>
      <c r="C28" s="164" t="s">
        <v>117</v>
      </c>
      <c r="D28" s="518">
        <f>D27/D26</f>
        <v>0.83270383069398735</v>
      </c>
      <c r="E28" s="408">
        <v>0.83671342523626313</v>
      </c>
      <c r="F28" s="72">
        <f t="shared" si="1"/>
        <v>-4.7920762609295941E-3</v>
      </c>
    </row>
    <row r="29" spans="2:7" ht="14.4" x14ac:dyDescent="0.3">
      <c r="B29" s="164" t="s">
        <v>620</v>
      </c>
      <c r="C29" s="164" t="s">
        <v>35</v>
      </c>
      <c r="D29" s="405">
        <f>'2025 Electricity (2)'!I67</f>
        <v>5820506.8938620212</v>
      </c>
      <c r="E29" s="405">
        <f>'2025 Electricity (2)'!H67</f>
        <v>6144380.3109999998</v>
      </c>
      <c r="F29" s="72">
        <f t="shared" si="1"/>
        <v>-5.2710509562398505E-2</v>
      </c>
    </row>
    <row r="30" spans="2:7" ht="14.4" x14ac:dyDescent="0.3">
      <c r="B30" s="164" t="s">
        <v>621</v>
      </c>
      <c r="C30" s="164" t="s">
        <v>35</v>
      </c>
      <c r="D30" s="88">
        <f>'Gas Building Totals 2025'!H26</f>
        <v>1401010.15</v>
      </c>
      <c r="E30" s="405">
        <v>3207463.3618999999</v>
      </c>
      <c r="F30" s="72">
        <f t="shared" si="1"/>
        <v>-0.56320306986450319</v>
      </c>
    </row>
    <row r="31" spans="2:7" ht="14.4" x14ac:dyDescent="0.3">
      <c r="B31" s="164" t="s">
        <v>622</v>
      </c>
      <c r="C31" s="164" t="s">
        <v>35</v>
      </c>
      <c r="D31" s="88">
        <f>'Gas Building Totals 2025'!H27</f>
        <v>1272584.2149999999</v>
      </c>
      <c r="E31" s="405">
        <f>'Gas Building Totals 2025'!I27</f>
        <v>2942231</v>
      </c>
      <c r="F31" s="72">
        <f t="shared" si="1"/>
        <v>-0.56747644389580565</v>
      </c>
    </row>
    <row r="32" spans="2:7" ht="14.4" x14ac:dyDescent="0.3">
      <c r="B32" s="164" t="s">
        <v>623</v>
      </c>
      <c r="C32" s="164" t="s">
        <v>35</v>
      </c>
      <c r="D32" s="405">
        <f>SUM(D26,D30)</f>
        <v>7302790.8428620212</v>
      </c>
      <c r="E32" s="405">
        <v>9481680.3848999999</v>
      </c>
      <c r="F32" s="72">
        <f t="shared" si="1"/>
        <v>-0.22979993562195555</v>
      </c>
      <c r="G32" s="206"/>
    </row>
    <row r="33" spans="2:6" ht="16.2" x14ac:dyDescent="0.3">
      <c r="B33" s="164" t="s">
        <v>630</v>
      </c>
      <c r="C33" s="164" t="s">
        <v>631</v>
      </c>
      <c r="D33" s="882">
        <f>'2025 Asset list '!G28</f>
        <v>69162</v>
      </c>
      <c r="E33" s="882">
        <v>76113.965357142864</v>
      </c>
      <c r="F33" s="72">
        <f t="shared" si="1"/>
        <v>-9.1336265618572998E-2</v>
      </c>
    </row>
    <row r="34" spans="2:6" ht="16.2" x14ac:dyDescent="0.3">
      <c r="B34" s="164" t="s">
        <v>632</v>
      </c>
      <c r="C34" s="164" t="s">
        <v>633</v>
      </c>
      <c r="D34" s="697">
        <f>D32/D33</f>
        <v>105.58964233049971</v>
      </c>
      <c r="E34" s="405">
        <v>124.57215098976837</v>
      </c>
      <c r="F34" s="72">
        <f>(D34-E34)/E34</f>
        <v>-0.15238163994477202</v>
      </c>
    </row>
    <row r="35" spans="2:6" ht="16.2" x14ac:dyDescent="0.3">
      <c r="B35" s="164" t="s">
        <v>634</v>
      </c>
      <c r="C35" s="164" t="s">
        <v>633</v>
      </c>
      <c r="D35" s="405">
        <f>(D29+D31)/D33</f>
        <v>102.55763437815594</v>
      </c>
      <c r="E35" s="405">
        <f>E32/'2025 Asset list '!G28</f>
        <v>137.09378538648392</v>
      </c>
      <c r="F35" s="72">
        <f t="shared" si="1"/>
        <v>-0.25191624048432537</v>
      </c>
    </row>
    <row r="36" spans="2:6" ht="14.4" x14ac:dyDescent="0.3">
      <c r="B36" s="164"/>
      <c r="C36" s="164"/>
      <c r="D36" s="164"/>
      <c r="E36" s="405"/>
      <c r="F36" s="164"/>
    </row>
    <row r="37" spans="2:6" ht="21" x14ac:dyDescent="0.4">
      <c r="B37" s="162" t="s">
        <v>635</v>
      </c>
      <c r="C37" s="163" t="s">
        <v>356</v>
      </c>
      <c r="D37" s="163"/>
      <c r="E37" s="406" t="s">
        <v>356</v>
      </c>
      <c r="F37" s="163" t="s">
        <v>356</v>
      </c>
    </row>
    <row r="38" spans="2:6" ht="14.4" x14ac:dyDescent="0.3">
      <c r="B38" s="164"/>
      <c r="C38" s="164"/>
      <c r="D38" s="164"/>
      <c r="E38" s="405"/>
      <c r="F38" s="164"/>
    </row>
    <row r="39" spans="2:6" ht="15.6" x14ac:dyDescent="0.3">
      <c r="B39" s="165" t="s">
        <v>615</v>
      </c>
      <c r="C39" s="165" t="s">
        <v>9</v>
      </c>
      <c r="D39" s="165">
        <v>2025</v>
      </c>
      <c r="E39" s="165">
        <v>2024</v>
      </c>
      <c r="F39" s="165" t="s">
        <v>616</v>
      </c>
    </row>
    <row r="40" spans="2:6" ht="14.4" x14ac:dyDescent="0.3">
      <c r="B40" s="164" t="s">
        <v>636</v>
      </c>
      <c r="C40" s="164" t="s">
        <v>35</v>
      </c>
      <c r="D40" s="88">
        <f>'2025 Electricity (2)'!I81</f>
        <v>943106.2</v>
      </c>
      <c r="E40" s="405">
        <v>840798.10000000009</v>
      </c>
      <c r="F40" s="72">
        <f t="shared" ref="F40:F48" si="2">(D40-E40)/E40</f>
        <v>0.12167974689762007</v>
      </c>
    </row>
    <row r="41" spans="2:6" ht="15" customHeight="1" x14ac:dyDescent="0.3">
      <c r="B41" s="164" t="s">
        <v>618</v>
      </c>
      <c r="C41" s="164" t="s">
        <v>35</v>
      </c>
      <c r="D41" s="883">
        <f>'2025 Electricity (2)'!I85</f>
        <v>379466.2</v>
      </c>
      <c r="E41" s="882">
        <v>152133</v>
      </c>
      <c r="F41" s="72">
        <f t="shared" si="2"/>
        <v>1.4943056404593349</v>
      </c>
    </row>
    <row r="42" spans="2:6" ht="14.4" x14ac:dyDescent="0.3">
      <c r="B42" s="164" t="s">
        <v>637</v>
      </c>
      <c r="C42" s="164" t="s">
        <v>117</v>
      </c>
      <c r="D42" s="408">
        <f>D41/D40</f>
        <v>0.4023578680746665</v>
      </c>
      <c r="E42" s="408">
        <v>0.18093880088454051</v>
      </c>
      <c r="F42" s="72">
        <f t="shared" si="2"/>
        <v>1.2237235247923219</v>
      </c>
    </row>
    <row r="43" spans="2:6" ht="14.4" x14ac:dyDescent="0.3">
      <c r="B43" s="164" t="s">
        <v>638</v>
      </c>
      <c r="C43" s="164" t="s">
        <v>35</v>
      </c>
      <c r="D43" s="405">
        <f>'2025 Electricity (2)'!I81</f>
        <v>943106.2</v>
      </c>
      <c r="E43" s="405">
        <v>840798.10000000009</v>
      </c>
      <c r="F43" s="72">
        <f t="shared" si="2"/>
        <v>0.12167974689762007</v>
      </c>
    </row>
    <row r="44" spans="2:6" ht="14.4" x14ac:dyDescent="0.3">
      <c r="B44" s="164" t="s">
        <v>621</v>
      </c>
      <c r="C44" s="164" t="s">
        <v>35</v>
      </c>
      <c r="D44" s="884">
        <f>'Gas Building Totals 2025'!H28</f>
        <v>1151024.7119999998</v>
      </c>
      <c r="E44" s="405">
        <v>1791632.2635613079</v>
      </c>
      <c r="F44" s="72">
        <f t="shared" si="2"/>
        <v>-0.35755526655226877</v>
      </c>
    </row>
    <row r="45" spans="2:6" ht="14.4" x14ac:dyDescent="0.3">
      <c r="B45" s="164" t="s">
        <v>639</v>
      </c>
      <c r="C45" s="164" t="s">
        <v>35</v>
      </c>
      <c r="D45" s="88">
        <f>'Gas Building Totals 2025'!H28</f>
        <v>1151024.7119999998</v>
      </c>
      <c r="E45" s="405">
        <v>1791632.2635613079</v>
      </c>
      <c r="F45" s="72">
        <f t="shared" si="2"/>
        <v>-0.35755526655226877</v>
      </c>
    </row>
    <row r="46" spans="2:6" ht="14.4" x14ac:dyDescent="0.3">
      <c r="B46" s="164" t="s">
        <v>623</v>
      </c>
      <c r="C46" s="164" t="s">
        <v>35</v>
      </c>
      <c r="D46" s="88">
        <f>SUM(D40,D44)</f>
        <v>2094130.9119999998</v>
      </c>
      <c r="E46" s="405">
        <v>2632430.363561308</v>
      </c>
      <c r="F46" s="72">
        <f t="shared" si="2"/>
        <v>-0.20448763204245402</v>
      </c>
    </row>
    <row r="47" spans="2:6" ht="14.4" x14ac:dyDescent="0.3">
      <c r="B47" s="164" t="s">
        <v>640</v>
      </c>
      <c r="C47" s="164" t="s">
        <v>170</v>
      </c>
      <c r="D47" s="164">
        <v>307</v>
      </c>
      <c r="E47" s="405">
        <v>307</v>
      </c>
      <c r="F47" s="72">
        <f t="shared" si="2"/>
        <v>0</v>
      </c>
    </row>
    <row r="48" spans="2:6" ht="14.4" x14ac:dyDescent="0.3">
      <c r="B48" s="164" t="s">
        <v>641</v>
      </c>
      <c r="C48" s="164" t="s">
        <v>642</v>
      </c>
      <c r="D48" s="405">
        <f>D46/D47</f>
        <v>6821.2733289902271</v>
      </c>
      <c r="E48" s="405">
        <f>E46/E47</f>
        <v>8574.6917379847164</v>
      </c>
      <c r="F48" s="72">
        <f t="shared" si="2"/>
        <v>-0.20448763204245402</v>
      </c>
    </row>
    <row r="49" spans="2:6" ht="14.4" x14ac:dyDescent="0.3">
      <c r="B49" s="164"/>
      <c r="C49" s="164"/>
      <c r="D49" s="164"/>
      <c r="E49" s="405"/>
      <c r="F49" s="164"/>
    </row>
    <row r="50" spans="2:6" ht="21" x14ac:dyDescent="0.4">
      <c r="B50" s="162" t="s">
        <v>643</v>
      </c>
      <c r="C50" s="163" t="s">
        <v>356</v>
      </c>
      <c r="D50" s="163"/>
      <c r="E50" s="406" t="s">
        <v>356</v>
      </c>
      <c r="F50" s="163" t="s">
        <v>356</v>
      </c>
    </row>
    <row r="51" spans="2:6" ht="14.4" x14ac:dyDescent="0.3">
      <c r="B51" s="164"/>
      <c r="C51" s="164"/>
      <c r="D51" s="164"/>
      <c r="E51" s="405"/>
      <c r="F51" s="164"/>
    </row>
    <row r="52" spans="2:6" ht="15.6" x14ac:dyDescent="0.3">
      <c r="B52" s="165" t="s">
        <v>615</v>
      </c>
      <c r="C52" s="165" t="s">
        <v>9</v>
      </c>
      <c r="D52" s="165">
        <v>2025</v>
      </c>
      <c r="E52" s="165">
        <v>2024</v>
      </c>
      <c r="F52" s="165" t="s">
        <v>616</v>
      </c>
    </row>
    <row r="53" spans="2:6" ht="14.4" x14ac:dyDescent="0.3">
      <c r="B53" s="164" t="s">
        <v>636</v>
      </c>
      <c r="C53" s="164" t="s">
        <v>35</v>
      </c>
      <c r="D53" s="405">
        <f>'2025 Electricity (2)'!K37</f>
        <v>52195.954672954096</v>
      </c>
      <c r="E53" s="405">
        <v>51494.031583999997</v>
      </c>
      <c r="F53" s="72">
        <f t="shared" ref="F53:F57" si="3">(D53-E53)/E53</f>
        <v>1.36311542787067E-2</v>
      </c>
    </row>
    <row r="54" spans="2:6" ht="15" customHeight="1" x14ac:dyDescent="0.3">
      <c r="B54" s="164" t="s">
        <v>618</v>
      </c>
      <c r="C54" s="164" t="s">
        <v>35</v>
      </c>
      <c r="D54" s="405">
        <f>'2025 Electricity (2)'!K37</f>
        <v>52195.954672954096</v>
      </c>
      <c r="E54" s="405">
        <v>51494.031583999997</v>
      </c>
      <c r="F54" s="72">
        <f t="shared" si="3"/>
        <v>1.36311542787067E-2</v>
      </c>
    </row>
    <row r="55" spans="2:6" ht="15" customHeight="1" x14ac:dyDescent="0.3">
      <c r="B55" s="164" t="s">
        <v>619</v>
      </c>
      <c r="C55" s="164" t="s">
        <v>117</v>
      </c>
      <c r="D55" s="408">
        <f>D54/D53</f>
        <v>1</v>
      </c>
      <c r="E55" s="408">
        <v>1</v>
      </c>
      <c r="F55" s="72">
        <f t="shared" si="3"/>
        <v>0</v>
      </c>
    </row>
    <row r="56" spans="2:6" ht="14.4" x14ac:dyDescent="0.3">
      <c r="B56" s="164" t="s">
        <v>621</v>
      </c>
      <c r="C56" s="164" t="s">
        <v>35</v>
      </c>
      <c r="D56" s="88">
        <f>'Gas Building Totals 2025'!H30</f>
        <v>21959.077139999998</v>
      </c>
      <c r="E56" s="405">
        <v>24079.56177</v>
      </c>
      <c r="F56" s="72">
        <f t="shared" si="3"/>
        <v>-8.8061595566155629E-2</v>
      </c>
    </row>
    <row r="57" spans="2:6" ht="14.4" x14ac:dyDescent="0.3">
      <c r="B57" s="164" t="s">
        <v>623</v>
      </c>
      <c r="C57" s="164" t="s">
        <v>35</v>
      </c>
      <c r="D57" s="405">
        <f>SUM(D53,D56)</f>
        <v>74155.031812954097</v>
      </c>
      <c r="E57" s="405">
        <v>75573.593353999997</v>
      </c>
      <c r="F57" s="72">
        <f t="shared" si="3"/>
        <v>-1.8770598010354064E-2</v>
      </c>
    </row>
    <row r="58" spans="2:6" ht="14.4" x14ac:dyDescent="0.3">
      <c r="B58" s="166"/>
      <c r="C58" s="166"/>
      <c r="D58" s="166"/>
      <c r="E58" s="407"/>
      <c r="F58" s="166"/>
    </row>
    <row r="60" spans="2:6" ht="16.2" x14ac:dyDescent="0.3">
      <c r="B60" t="s">
        <v>644</v>
      </c>
    </row>
    <row r="61" spans="2:6" ht="15" customHeight="1" x14ac:dyDescent="0.3">
      <c r="B61" s="785" t="s">
        <v>645</v>
      </c>
    </row>
    <row r="62" spans="2:6" ht="15" customHeight="1" x14ac:dyDescent="0.3">
      <c r="B62" s="785" t="s">
        <v>646</v>
      </c>
    </row>
  </sheetData>
  <sheetProtection sheet="1" objects="1" scenarios="1"/>
  <pageMargins left="0.7" right="0.7" top="0.75" bottom="0.75" header="0.3" footer="0.3"/>
  <pageSetup paperSize="9" orientation="portrait" horizontalDpi="429496729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53038-8E69-405D-94C6-2F99D2B83E12}">
  <sheetPr>
    <tabColor rgb="FF00B050"/>
  </sheetPr>
  <dimension ref="A2:G27"/>
  <sheetViews>
    <sheetView showGridLines="0" zoomScale="85" zoomScaleNormal="85" workbookViewId="0">
      <selection activeCell="B3" sqref="B3"/>
    </sheetView>
  </sheetViews>
  <sheetFormatPr defaultRowHeight="15" customHeight="1" x14ac:dyDescent="0.3"/>
  <cols>
    <col min="1" max="1" width="4.44140625" customWidth="1"/>
    <col min="2" max="2" width="45.88671875" customWidth="1"/>
    <col min="3" max="3" width="23" customWidth="1"/>
    <col min="4" max="5" width="16.5546875" customWidth="1"/>
    <col min="6" max="6" width="17.77734375" customWidth="1"/>
    <col min="7" max="7" width="15" customWidth="1"/>
    <col min="8" max="8" width="18.77734375" customWidth="1"/>
    <col min="9" max="9" width="16.44140625" customWidth="1"/>
  </cols>
  <sheetData>
    <row r="2" spans="1:7" ht="12" customHeight="1" x14ac:dyDescent="0.6">
      <c r="A2" s="71"/>
    </row>
    <row r="3" spans="1:7" ht="31.2" x14ac:dyDescent="0.6">
      <c r="A3" s="71"/>
      <c r="B3" s="71" t="s">
        <v>464</v>
      </c>
      <c r="G3" s="71"/>
    </row>
    <row r="5" spans="1:7" ht="21" x14ac:dyDescent="0.4">
      <c r="B5" s="70" t="s">
        <v>647</v>
      </c>
      <c r="C5" s="73"/>
      <c r="D5" s="73"/>
      <c r="E5" s="73"/>
      <c r="F5" s="73"/>
    </row>
    <row r="7" spans="1:7" ht="41.25" customHeight="1" x14ac:dyDescent="0.3">
      <c r="B7" s="76" t="s">
        <v>615</v>
      </c>
      <c r="C7" s="76" t="s">
        <v>648</v>
      </c>
      <c r="D7" s="76">
        <v>2025</v>
      </c>
      <c r="E7" s="76">
        <v>2024</v>
      </c>
      <c r="F7" s="76" t="s">
        <v>616</v>
      </c>
    </row>
    <row r="8" spans="1:7" ht="16.2" x14ac:dyDescent="0.3">
      <c r="B8" t="s">
        <v>649</v>
      </c>
      <c r="C8" t="s">
        <v>650</v>
      </c>
      <c r="D8" s="206">
        <f>'2025 Water Data Est.'!N50</f>
        <v>78305.482956850436</v>
      </c>
      <c r="E8" s="206">
        <v>65244.609022280783</v>
      </c>
      <c r="F8" s="72">
        <f>(D8-E8)/E8</f>
        <v>0.2001831895430535</v>
      </c>
    </row>
    <row r="9" spans="1:7" ht="16.2" x14ac:dyDescent="0.3">
      <c r="B9" t="s">
        <v>651</v>
      </c>
      <c r="C9" t="s">
        <v>650</v>
      </c>
      <c r="D9" s="247">
        <f>'2025 Water Data Est.'!N51</f>
        <v>70464.006236723493</v>
      </c>
      <c r="E9" s="247">
        <f>'2025 Water Data Est.'!O51</f>
        <v>61715.57799964014</v>
      </c>
      <c r="F9" s="72">
        <f t="shared" ref="F9:F10" si="0">(D9-E9)/E9</f>
        <v>0.14175397072574392</v>
      </c>
    </row>
    <row r="10" spans="1:7" ht="16.2" x14ac:dyDescent="0.3">
      <c r="B10" t="s">
        <v>652</v>
      </c>
      <c r="C10" t="s">
        <v>653</v>
      </c>
      <c r="D10" s="543">
        <f>'2025 Water Data Est.'!N52</f>
        <v>0.52757610211790762</v>
      </c>
      <c r="E10" s="409">
        <v>0.43494748986627552</v>
      </c>
      <c r="F10" s="72">
        <f t="shared" si="0"/>
        <v>0.21296504614869888</v>
      </c>
    </row>
    <row r="12" spans="1:7" ht="21" x14ac:dyDescent="0.4">
      <c r="B12" s="70" t="s">
        <v>654</v>
      </c>
      <c r="C12" s="73"/>
      <c r="D12" s="73"/>
      <c r="E12" s="73"/>
      <c r="F12" s="73"/>
    </row>
    <row r="14" spans="1:7" ht="15.6" x14ac:dyDescent="0.3">
      <c r="B14" s="76" t="s">
        <v>615</v>
      </c>
      <c r="C14" s="76" t="s">
        <v>648</v>
      </c>
      <c r="D14" s="76">
        <v>2025</v>
      </c>
      <c r="E14" s="76">
        <v>2024</v>
      </c>
      <c r="F14" s="76" t="s">
        <v>616</v>
      </c>
    </row>
    <row r="15" spans="1:7" ht="16.2" x14ac:dyDescent="0.3">
      <c r="B15" t="s">
        <v>655</v>
      </c>
      <c r="C15" t="s">
        <v>650</v>
      </c>
      <c r="D15" s="206">
        <f>'2025 Water Data Est.'!N56</f>
        <v>16310.22500224758</v>
      </c>
      <c r="E15" s="206">
        <v>13209.64802228078</v>
      </c>
      <c r="F15" s="72">
        <f t="shared" ref="F15:F17" si="1">(D15-E15)/E15</f>
        <v>0.2347206356094455</v>
      </c>
    </row>
    <row r="16" spans="1:7" ht="16.2" x14ac:dyDescent="0.3">
      <c r="B16" t="s">
        <v>651</v>
      </c>
      <c r="C16" t="s">
        <v>650</v>
      </c>
      <c r="D16" s="206">
        <f>'2025 Water Data Est.'!N57</f>
        <v>16014.775002247579</v>
      </c>
      <c r="E16" s="206">
        <v>13209.64802228078</v>
      </c>
      <c r="F16" s="72">
        <f t="shared" si="1"/>
        <v>0.2123544075690266</v>
      </c>
    </row>
    <row r="17" spans="2:6" ht="16.2" x14ac:dyDescent="0.3">
      <c r="B17" t="s">
        <v>652</v>
      </c>
      <c r="C17" t="s">
        <v>653</v>
      </c>
      <c r="D17" s="543">
        <f>'2025 Water Data Est.'!N58</f>
        <v>0.21428960890055024</v>
      </c>
      <c r="E17" s="409">
        <v>0.17355091093071173</v>
      </c>
      <c r="F17" s="72">
        <f t="shared" si="1"/>
        <v>0.23473629583023611</v>
      </c>
    </row>
    <row r="19" spans="2:6" ht="21" x14ac:dyDescent="0.4">
      <c r="B19" s="70" t="s">
        <v>656</v>
      </c>
      <c r="C19" s="73"/>
      <c r="D19" s="73"/>
      <c r="E19" s="73"/>
      <c r="F19" s="73"/>
    </row>
    <row r="21" spans="2:6" ht="15.6" x14ac:dyDescent="0.3">
      <c r="B21" s="76" t="s">
        <v>615</v>
      </c>
      <c r="C21" s="76" t="s">
        <v>648</v>
      </c>
      <c r="D21" s="76">
        <v>2025</v>
      </c>
      <c r="E21" s="76">
        <v>2024</v>
      </c>
      <c r="F21" s="76" t="s">
        <v>616</v>
      </c>
    </row>
    <row r="22" spans="2:6" ht="16.2" x14ac:dyDescent="0.3">
      <c r="B22" t="s">
        <v>655</v>
      </c>
      <c r="C22" t="s">
        <v>650</v>
      </c>
      <c r="D22" s="106">
        <f>'2025 Water Data Est.'!N62</f>
        <v>150.2868</v>
      </c>
      <c r="E22" s="206">
        <v>154.23425099999997</v>
      </c>
      <c r="F22" s="72">
        <f t="shared" ref="F22:F24" si="2">(D22-E22)/E22</f>
        <v>-2.5593867603376719E-2</v>
      </c>
    </row>
    <row r="23" spans="2:6" ht="16.2" x14ac:dyDescent="0.3">
      <c r="B23" t="s">
        <v>651</v>
      </c>
      <c r="C23" t="s">
        <v>650</v>
      </c>
      <c r="D23" s="106">
        <f>'2025 Water Data Est.'!N62</f>
        <v>150.2868</v>
      </c>
      <c r="E23" s="206">
        <v>154.23425099999997</v>
      </c>
      <c r="F23" s="72">
        <f t="shared" si="2"/>
        <v>-2.5593867603376719E-2</v>
      </c>
    </row>
    <row r="24" spans="2:6" ht="16.2" x14ac:dyDescent="0.3">
      <c r="B24" t="s">
        <v>652</v>
      </c>
      <c r="C24" t="s">
        <v>653</v>
      </c>
      <c r="D24" s="147">
        <f>'2025 Water Data Est.'!N64</f>
        <v>0.32250386266094422</v>
      </c>
      <c r="E24" s="409">
        <v>0.33097478755364801</v>
      </c>
      <c r="F24" s="72">
        <f t="shared" si="2"/>
        <v>-2.5593867603376678E-2</v>
      </c>
    </row>
    <row r="25" spans="2:6" ht="14.4" x14ac:dyDescent="0.3">
      <c r="B25" s="166"/>
      <c r="C25" s="166"/>
      <c r="D25" s="166"/>
      <c r="E25" s="166"/>
      <c r="F25" s="328"/>
    </row>
    <row r="27" spans="2:6" ht="16.2" x14ac:dyDescent="0.3">
      <c r="B27" t="s">
        <v>644</v>
      </c>
    </row>
  </sheetData>
  <sheetProtection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A101C-F65C-4C9F-AF0C-FF47DB8CB5F7}">
  <sheetPr codeName="Sheet24">
    <tabColor rgb="FF00B050"/>
  </sheetPr>
  <dimension ref="A2:H44"/>
  <sheetViews>
    <sheetView showGridLines="0" zoomScale="85" zoomScaleNormal="85" workbookViewId="0">
      <selection activeCell="D8" sqref="D8:E12"/>
    </sheetView>
  </sheetViews>
  <sheetFormatPr defaultRowHeight="15" customHeight="1" x14ac:dyDescent="0.3"/>
  <cols>
    <col min="1" max="1" width="4.44140625" customWidth="1"/>
    <col min="2" max="2" width="45.88671875" customWidth="1"/>
    <col min="3" max="3" width="24.21875" customWidth="1"/>
    <col min="4" max="5" width="16.5546875" customWidth="1"/>
    <col min="6" max="6" width="17.77734375" customWidth="1"/>
    <col min="7" max="7" width="15" customWidth="1"/>
    <col min="8" max="8" width="18.77734375" customWidth="1"/>
    <col min="9" max="9" width="16.44140625" customWidth="1"/>
  </cols>
  <sheetData>
    <row r="2" spans="1:7" ht="12" customHeight="1" x14ac:dyDescent="0.6">
      <c r="A2" s="71"/>
    </row>
    <row r="3" spans="1:7" ht="31.2" x14ac:dyDescent="0.6">
      <c r="A3" s="71"/>
      <c r="B3" s="71" t="s">
        <v>464</v>
      </c>
      <c r="G3" s="71"/>
    </row>
    <row r="5" spans="1:7" ht="21" x14ac:dyDescent="0.4">
      <c r="B5" s="70" t="s">
        <v>657</v>
      </c>
      <c r="C5" s="73"/>
      <c r="D5" s="73"/>
      <c r="E5" s="73"/>
      <c r="F5" s="73"/>
    </row>
    <row r="7" spans="1:7" ht="41.25" customHeight="1" x14ac:dyDescent="0.3">
      <c r="B7" s="76" t="s">
        <v>615</v>
      </c>
      <c r="C7" s="76" t="s">
        <v>648</v>
      </c>
      <c r="D7" s="76">
        <v>2025</v>
      </c>
      <c r="E7" s="76">
        <v>2024</v>
      </c>
      <c r="F7" s="76" t="s">
        <v>616</v>
      </c>
    </row>
    <row r="8" spans="1:7" ht="16.2" x14ac:dyDescent="0.3">
      <c r="B8" t="s">
        <v>658</v>
      </c>
      <c r="C8" t="s">
        <v>65</v>
      </c>
      <c r="D8" s="885">
        <f>SUM('UPDATED WASTE DATA 2025'!BE21:BG21)</f>
        <v>794.88357577610657</v>
      </c>
      <c r="E8" s="885">
        <f>310.736 + 'Waste 2024'!S59</f>
        <v>788.66</v>
      </c>
      <c r="F8" s="72">
        <f>(D8-E8)/E8</f>
        <v>7.8913293131471097E-3</v>
      </c>
    </row>
    <row r="9" spans="1:7" ht="14.4" x14ac:dyDescent="0.3">
      <c r="C9" t="s">
        <v>659</v>
      </c>
      <c r="D9" s="886">
        <f>'UPDATED WASTE DATA 2025'!BG22</f>
        <v>0.70958864513005304</v>
      </c>
      <c r="E9" s="886">
        <f>'Waste 2024'!Y81</f>
        <v>0.76192655897344863</v>
      </c>
      <c r="F9" s="72">
        <f t="shared" ref="F9:F15" si="0">(D9-E9)/E9</f>
        <v>-6.869154674685575E-2</v>
      </c>
    </row>
    <row r="10" spans="1:7" ht="14.4" x14ac:dyDescent="0.3">
      <c r="C10" t="s">
        <v>660</v>
      </c>
      <c r="D10" s="886">
        <f>'UPDATED WASTE DATA 2025'!BF22</f>
        <v>5.9649486704388119E-2</v>
      </c>
      <c r="E10" s="886">
        <f>'Waste 2024'!X81</f>
        <v>4.9201176679430934E-2</v>
      </c>
      <c r="F10" s="72">
        <f>(D10-E10)/E10</f>
        <v>0.21235894606815794</v>
      </c>
    </row>
    <row r="11" spans="1:7" ht="14.4" x14ac:dyDescent="0.3">
      <c r="C11" t="s">
        <v>661</v>
      </c>
      <c r="D11" s="886">
        <f>'UPDATED WASTE DATA 2025'!BE22</f>
        <v>0.23076186816555883</v>
      </c>
      <c r="E11" s="886">
        <f>'Waste 2024'!Z81</f>
        <v>0.18887226434712043</v>
      </c>
      <c r="F11" s="72">
        <f t="shared" si="0"/>
        <v>0.22178801087199998</v>
      </c>
    </row>
    <row r="12" spans="1:7" ht="14.4" x14ac:dyDescent="0.3">
      <c r="B12" t="s">
        <v>662</v>
      </c>
      <c r="C12" t="s">
        <v>65</v>
      </c>
      <c r="D12" s="885">
        <f>SUM('UPDATED WASTE DATA 2025'!BE21:BG21) - (SUM('UPDATED WASTE DATA 2025'!BE11:BG11) + SUM('UPDATED WASTE DATA 2025'!BE18:BG18))</f>
        <v>376.48957577610656</v>
      </c>
      <c r="E12" s="885">
        <f>'Waste 2024'!Y84</f>
        <v>300.45799999999997</v>
      </c>
      <c r="F12" s="72">
        <f t="shared" si="0"/>
        <v>0.25305225947089643</v>
      </c>
    </row>
    <row r="13" spans="1:7" ht="14.4" x14ac:dyDescent="0.3">
      <c r="C13" t="s">
        <v>659</v>
      </c>
      <c r="D13" s="72">
        <f>'UPDATED WASTE DATA 2025'!BG28</f>
        <v>0.50791150164185705</v>
      </c>
      <c r="E13" s="72">
        <v>0.39576038823953447</v>
      </c>
      <c r="F13" s="72">
        <f t="shared" si="0"/>
        <v>0.2833813507744059</v>
      </c>
    </row>
    <row r="14" spans="1:7" ht="14.4" x14ac:dyDescent="0.3">
      <c r="C14" t="s">
        <v>660</v>
      </c>
      <c r="D14" s="72">
        <f>'UPDATED WASTE DATA 2025'!BF28</f>
        <v>0.14146549671885539</v>
      </c>
      <c r="E14" s="72">
        <v>0.12487449152978732</v>
      </c>
      <c r="F14" s="72">
        <f t="shared" si="0"/>
        <v>0.13286144340464032</v>
      </c>
    </row>
    <row r="15" spans="1:7" ht="14.4" x14ac:dyDescent="0.3">
      <c r="C15" t="s">
        <v>661</v>
      </c>
      <c r="D15" s="72">
        <f>'UPDATED WASTE DATA 2025'!BE28</f>
        <v>0.35062300163928717</v>
      </c>
      <c r="E15" s="72">
        <v>0.47936512023067801</v>
      </c>
      <c r="F15" s="72">
        <f t="shared" si="0"/>
        <v>-0.26856797284174144</v>
      </c>
    </row>
    <row r="17" spans="2:6" ht="21" x14ac:dyDescent="0.4">
      <c r="B17" s="70" t="s">
        <v>663</v>
      </c>
      <c r="C17" s="73"/>
      <c r="D17" s="73"/>
      <c r="E17" s="73"/>
      <c r="F17" s="73"/>
    </row>
    <row r="19" spans="2:6" ht="15.6" x14ac:dyDescent="0.3">
      <c r="B19" s="76" t="s">
        <v>615</v>
      </c>
      <c r="C19" s="76" t="s">
        <v>648</v>
      </c>
      <c r="D19" s="76">
        <v>2025</v>
      </c>
      <c r="E19" s="76">
        <v>2024</v>
      </c>
      <c r="F19" s="76" t="s">
        <v>616</v>
      </c>
    </row>
    <row r="20" spans="2:6" ht="14.4" x14ac:dyDescent="0.3">
      <c r="B20" t="s">
        <v>664</v>
      </c>
      <c r="C20" t="s">
        <v>65</v>
      </c>
      <c r="D20" s="106">
        <f>SUM('UPDATED WASTE DATA 2025'!BE27:BG27)</f>
        <v>125.65323486701557</v>
      </c>
      <c r="E20" s="106">
        <v>137.99</v>
      </c>
      <c r="F20" s="72">
        <f>(D20-E20)/E20</f>
        <v>-8.9403327291719972E-2</v>
      </c>
    </row>
    <row r="21" spans="2:6" ht="14.4" x14ac:dyDescent="0.3">
      <c r="C21" t="s">
        <v>659</v>
      </c>
      <c r="D21" s="72">
        <f>'UPDATED WASTE DATA 2025'!BG28</f>
        <v>0.50791150164185705</v>
      </c>
      <c r="E21" s="72">
        <v>0.48783969852887893</v>
      </c>
      <c r="F21" s="72">
        <f t="shared" ref="F21:F27" si="1">(D21-E21)/E21</f>
        <v>4.1144259422729049E-2</v>
      </c>
    </row>
    <row r="22" spans="2:6" ht="14.4" x14ac:dyDescent="0.3">
      <c r="C22" t="s">
        <v>660</v>
      </c>
      <c r="D22" s="72">
        <f>'UPDATED WASTE DATA 2025'!BF28</f>
        <v>0.14146549671885539</v>
      </c>
      <c r="E22" s="72">
        <v>0.14877165011957388</v>
      </c>
      <c r="F22" s="72">
        <f t="shared" si="1"/>
        <v>-4.9109849859474169E-2</v>
      </c>
    </row>
    <row r="23" spans="2:6" ht="14.4" x14ac:dyDescent="0.3">
      <c r="C23" t="s">
        <v>661</v>
      </c>
      <c r="D23" s="72">
        <f>'UPDATED WASTE DATA 2025'!BE28</f>
        <v>0.35062300163928717</v>
      </c>
      <c r="E23" s="72">
        <v>0.36338865135154719</v>
      </c>
      <c r="F23" s="72">
        <f t="shared" si="1"/>
        <v>-3.5129467210329453E-2</v>
      </c>
    </row>
    <row r="24" spans="2:6" ht="14.4" x14ac:dyDescent="0.3">
      <c r="B24" t="s">
        <v>665</v>
      </c>
      <c r="C24" t="s">
        <v>65</v>
      </c>
      <c r="D24" s="106">
        <f>SUM('UPDATED WASTE DATA 2025'!BE27:BG27)</f>
        <v>125.65323486701557</v>
      </c>
      <c r="E24" s="106">
        <v>137.99</v>
      </c>
      <c r="F24" s="72">
        <f t="shared" si="1"/>
        <v>-8.9403327291719972E-2</v>
      </c>
    </row>
    <row r="25" spans="2:6" ht="14.4" x14ac:dyDescent="0.3">
      <c r="C25" t="s">
        <v>659</v>
      </c>
      <c r="D25" s="72">
        <f>'UPDATED WASTE DATA 2025'!BG28</f>
        <v>0.50791150164185705</v>
      </c>
      <c r="E25" s="72">
        <v>0.48783969852887893</v>
      </c>
      <c r="F25" s="72">
        <f t="shared" si="1"/>
        <v>4.1144259422729049E-2</v>
      </c>
    </row>
    <row r="26" spans="2:6" ht="14.4" x14ac:dyDescent="0.3">
      <c r="C26" t="s">
        <v>660</v>
      </c>
      <c r="D26" s="72">
        <f>'UPDATED WASTE DATA 2025'!BF28</f>
        <v>0.14146549671885539</v>
      </c>
      <c r="E26" s="72">
        <v>0.14877165011957388</v>
      </c>
      <c r="F26" s="72">
        <f t="shared" si="1"/>
        <v>-4.9109849859474169E-2</v>
      </c>
    </row>
    <row r="27" spans="2:6" ht="14.4" x14ac:dyDescent="0.3">
      <c r="C27" t="s">
        <v>661</v>
      </c>
      <c r="D27" s="72">
        <f>'UPDATED WASTE DATA 2025'!BE28</f>
        <v>0.35062300163928717</v>
      </c>
      <c r="E27" s="72">
        <v>0.36338865135154719</v>
      </c>
      <c r="F27" s="72">
        <f t="shared" si="1"/>
        <v>-3.5129467210329453E-2</v>
      </c>
    </row>
    <row r="29" spans="2:6" ht="21" x14ac:dyDescent="0.4">
      <c r="B29" s="70" t="s">
        <v>666</v>
      </c>
      <c r="C29" s="73"/>
      <c r="D29" s="73"/>
      <c r="E29" s="73"/>
      <c r="F29" s="73"/>
    </row>
    <row r="31" spans="2:6" ht="15.6" x14ac:dyDescent="0.3">
      <c r="B31" s="76" t="s">
        <v>615</v>
      </c>
      <c r="C31" s="76" t="s">
        <v>648</v>
      </c>
      <c r="D31" s="76">
        <v>2025</v>
      </c>
      <c r="E31" s="76">
        <v>2024</v>
      </c>
      <c r="F31" s="76" t="s">
        <v>616</v>
      </c>
    </row>
    <row r="32" spans="2:6" ht="14.4" x14ac:dyDescent="0.3">
      <c r="B32" t="s">
        <v>667</v>
      </c>
      <c r="C32" t="s">
        <v>65</v>
      </c>
      <c r="D32" s="598">
        <f>SUM('UPDATED WASTE DATA 2025'!BE31:BG31)</f>
        <v>1.6273832599874531</v>
      </c>
      <c r="E32" s="598">
        <f>SUM('Waste 2024'!Y15:AA15)</f>
        <v>1.5841620000000001</v>
      </c>
      <c r="F32" s="597">
        <f>(D32-E32)/E32</f>
        <v>2.7283358638480835E-2</v>
      </c>
    </row>
    <row r="33" spans="2:8" ht="14.4" x14ac:dyDescent="0.3">
      <c r="C33" t="s">
        <v>659</v>
      </c>
      <c r="D33" s="72">
        <f>'UPDATED WASTE DATA 2025'!BG32</f>
        <v>0.52057195424699609</v>
      </c>
      <c r="E33" s="597">
        <f>'Waste 2024'!Z16</f>
        <v>0.42009529328439887</v>
      </c>
      <c r="F33" s="72">
        <f t="shared" ref="F33:F39" si="2">(D33-E33)/E33</f>
        <v>0.23917587882751132</v>
      </c>
    </row>
    <row r="34" spans="2:8" ht="14.4" x14ac:dyDescent="0.3">
      <c r="C34" t="s">
        <v>660</v>
      </c>
      <c r="D34" s="72">
        <f>'UPDATED WASTE DATA 2025'!BF32</f>
        <v>8.2138609830399389E-2</v>
      </c>
      <c r="E34" s="597">
        <f>'Waste 2024'!Y16</f>
        <v>0.11650891764857381</v>
      </c>
      <c r="F34" s="72">
        <f t="shared" si="2"/>
        <v>-0.29500152015698644</v>
      </c>
    </row>
    <row r="35" spans="2:8" ht="14.4" x14ac:dyDescent="0.3">
      <c r="C35" t="s">
        <v>661</v>
      </c>
      <c r="D35" s="72">
        <f>'UPDATED WASTE DATA 2025'!BE32</f>
        <v>0.39728943592260452</v>
      </c>
      <c r="E35" s="597">
        <f>'Waste 2024'!AA16</f>
        <v>0.46339578906702722</v>
      </c>
      <c r="F35" s="72">
        <f t="shared" si="2"/>
        <v>-0.14265635274225774</v>
      </c>
    </row>
    <row r="36" spans="2:8" ht="14.4" x14ac:dyDescent="0.3">
      <c r="B36" t="s">
        <v>665</v>
      </c>
      <c r="C36" t="s">
        <v>65</v>
      </c>
      <c r="D36" s="598">
        <v>1.6273832599874531</v>
      </c>
      <c r="E36" s="598">
        <v>1.5841620000000001</v>
      </c>
      <c r="F36" s="597">
        <f>(D36-E36)/E36</f>
        <v>2.7283358638480835E-2</v>
      </c>
    </row>
    <row r="37" spans="2:8" ht="14.4" x14ac:dyDescent="0.3">
      <c r="C37" t="s">
        <v>659</v>
      </c>
      <c r="D37" s="72">
        <v>0.52057195424699609</v>
      </c>
      <c r="E37" s="597">
        <v>0.42009529328439887</v>
      </c>
      <c r="F37" s="72">
        <f t="shared" si="2"/>
        <v>0.23917587882751132</v>
      </c>
    </row>
    <row r="38" spans="2:8" ht="14.4" x14ac:dyDescent="0.3">
      <c r="C38" t="s">
        <v>660</v>
      </c>
      <c r="D38" s="72">
        <v>8.2138609830399389E-2</v>
      </c>
      <c r="E38" s="597">
        <v>0.11650891764857381</v>
      </c>
      <c r="F38" s="72">
        <f t="shared" si="2"/>
        <v>-0.29500152015698644</v>
      </c>
      <c r="H38" s="72"/>
    </row>
    <row r="39" spans="2:8" ht="14.4" x14ac:dyDescent="0.3">
      <c r="C39" t="s">
        <v>661</v>
      </c>
      <c r="D39" s="72">
        <v>0.39728943592260452</v>
      </c>
      <c r="E39" s="597">
        <v>0.46339578906702722</v>
      </c>
      <c r="F39" s="72">
        <f t="shared" si="2"/>
        <v>-0.14265635274225774</v>
      </c>
    </row>
    <row r="40" spans="2:8" ht="14.4" x14ac:dyDescent="0.3">
      <c r="B40" s="166"/>
      <c r="C40" s="166"/>
      <c r="D40" s="166"/>
      <c r="E40" s="166"/>
      <c r="F40" s="166"/>
    </row>
    <row r="42" spans="2:8" ht="16.2" x14ac:dyDescent="0.3">
      <c r="B42" t="s">
        <v>644</v>
      </c>
    </row>
    <row r="43" spans="2:8" ht="15" customHeight="1" x14ac:dyDescent="0.3">
      <c r="B43" s="785" t="s">
        <v>668</v>
      </c>
    </row>
    <row r="44" spans="2:8" ht="15" customHeight="1" x14ac:dyDescent="0.3">
      <c r="B44" s="368" t="s">
        <v>669</v>
      </c>
    </row>
  </sheetData>
  <sheetProtection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A5F39-969D-4EE7-8B84-1D9186D72ADF}">
  <sheetPr>
    <tabColor rgb="FF00B050"/>
  </sheetPr>
  <dimension ref="A2:O31"/>
  <sheetViews>
    <sheetView showGridLines="0" zoomScale="87" workbookViewId="0">
      <selection activeCell="D34" sqref="D34"/>
    </sheetView>
  </sheetViews>
  <sheetFormatPr defaultRowHeight="15" customHeight="1" x14ac:dyDescent="0.3"/>
  <cols>
    <col min="1" max="1" width="3.88671875" customWidth="1"/>
    <col min="2" max="2" width="42" customWidth="1"/>
    <col min="3" max="3" width="46.109375" customWidth="1"/>
    <col min="4" max="4" width="19.109375" customWidth="1"/>
    <col min="5" max="5" width="17.44140625" customWidth="1"/>
    <col min="6" max="6" width="15.21875" customWidth="1"/>
    <col min="8" max="10" width="12.77734375" customWidth="1"/>
  </cols>
  <sheetData>
    <row r="2" spans="1:15" ht="12" customHeight="1" x14ac:dyDescent="0.6">
      <c r="A2" s="71"/>
    </row>
    <row r="3" spans="1:15" ht="31.2" x14ac:dyDescent="0.6">
      <c r="A3" s="71"/>
      <c r="B3" s="71" t="s">
        <v>464</v>
      </c>
      <c r="C3" s="71"/>
      <c r="I3" s="71"/>
    </row>
    <row r="5" spans="1:15" ht="21" x14ac:dyDescent="0.4">
      <c r="B5" s="79" t="s">
        <v>468</v>
      </c>
      <c r="C5" s="79"/>
      <c r="D5" s="79"/>
      <c r="E5" s="79"/>
      <c r="F5" s="79"/>
      <c r="G5" s="62"/>
      <c r="H5" s="62"/>
      <c r="I5" s="62"/>
      <c r="J5" s="62"/>
    </row>
    <row r="8" spans="1:15" s="78" customFormat="1" ht="46.8" x14ac:dyDescent="0.3">
      <c r="B8" s="77" t="s">
        <v>615</v>
      </c>
      <c r="C8" s="77" t="s">
        <v>670</v>
      </c>
      <c r="D8" s="77" t="s">
        <v>671</v>
      </c>
      <c r="E8" s="77">
        <v>2025</v>
      </c>
      <c r="F8" s="77">
        <v>2024</v>
      </c>
      <c r="G8" s="77" t="s">
        <v>616</v>
      </c>
      <c r="H8" s="77" t="s">
        <v>672</v>
      </c>
      <c r="I8" s="77" t="s">
        <v>673</v>
      </c>
      <c r="J8" s="77" t="s">
        <v>674</v>
      </c>
    </row>
    <row r="9" spans="1:15" s="78" customFormat="1" ht="16.2" x14ac:dyDescent="0.3">
      <c r="B9" t="s">
        <v>675</v>
      </c>
      <c r="C9" s="201"/>
      <c r="D9" s="201"/>
      <c r="E9" s="201"/>
      <c r="F9" s="410"/>
      <c r="G9" s="201"/>
      <c r="H9" s="201"/>
      <c r="I9" s="201"/>
      <c r="J9" s="201"/>
    </row>
    <row r="10" spans="1:15" ht="15.6" x14ac:dyDescent="0.35">
      <c r="C10" s="203" t="s">
        <v>676</v>
      </c>
      <c r="D10" s="53" t="s">
        <v>677</v>
      </c>
      <c r="E10" s="644">
        <f>'Emissions 2025'!H13</f>
        <v>366.93</v>
      </c>
      <c r="F10" s="411">
        <v>544.75247899999999</v>
      </c>
      <c r="G10" s="72">
        <f>(E10-F10)/F10</f>
        <v>-0.32642803081213695</v>
      </c>
      <c r="H10" s="74" t="s">
        <v>31</v>
      </c>
      <c r="I10" s="74" t="s">
        <v>31</v>
      </c>
      <c r="J10" s="74" t="s">
        <v>31</v>
      </c>
      <c r="O10" s="72"/>
    </row>
    <row r="11" spans="1:15" ht="15.6" x14ac:dyDescent="0.35">
      <c r="C11" s="203" t="s">
        <v>678</v>
      </c>
      <c r="D11" s="53" t="s">
        <v>677</v>
      </c>
      <c r="E11" s="53">
        <v>0</v>
      </c>
      <c r="F11" s="411">
        <v>0</v>
      </c>
      <c r="G11" s="72">
        <v>0</v>
      </c>
      <c r="H11" s="74" t="s">
        <v>31</v>
      </c>
      <c r="I11" s="74" t="s">
        <v>31</v>
      </c>
      <c r="J11" s="74" t="s">
        <v>31</v>
      </c>
      <c r="O11" s="72"/>
    </row>
    <row r="12" spans="1:15" ht="16.2" x14ac:dyDescent="0.3">
      <c r="B12" t="s">
        <v>679</v>
      </c>
      <c r="C12" s="203"/>
      <c r="D12" s="53"/>
      <c r="E12" s="53"/>
      <c r="F12" s="411"/>
      <c r="G12" s="72"/>
      <c r="H12" s="74"/>
      <c r="I12" s="74"/>
      <c r="J12" s="74"/>
      <c r="O12" s="72"/>
    </row>
    <row r="13" spans="1:15" ht="15.6" x14ac:dyDescent="0.35">
      <c r="C13" s="204" t="s">
        <v>680</v>
      </c>
      <c r="D13" s="53" t="s">
        <v>677</v>
      </c>
      <c r="E13" s="644">
        <f>'Emissions 2025'!I30</f>
        <v>687.65403860000004</v>
      </c>
      <c r="F13" s="411">
        <v>688.92215399999998</v>
      </c>
      <c r="G13" s="787">
        <f t="shared" ref="G13:G29" si="0">(E13-F13)/F13</f>
        <v>-1.8407237924300259E-3</v>
      </c>
      <c r="H13" s="74" t="s">
        <v>31</v>
      </c>
      <c r="I13" s="74" t="s">
        <v>31</v>
      </c>
      <c r="J13" s="74" t="s">
        <v>31</v>
      </c>
    </row>
    <row r="14" spans="1:15" ht="15.6" x14ac:dyDescent="0.35">
      <c r="C14" s="205" t="s">
        <v>681</v>
      </c>
      <c r="D14" s="53" t="s">
        <v>677</v>
      </c>
      <c r="E14" s="53">
        <v>0</v>
      </c>
      <c r="F14" s="411">
        <v>0</v>
      </c>
      <c r="G14" s="72">
        <v>0</v>
      </c>
      <c r="H14" s="74" t="s">
        <v>31</v>
      </c>
      <c r="I14" s="74" t="s">
        <v>31</v>
      </c>
      <c r="J14" s="74" t="s">
        <v>31</v>
      </c>
    </row>
    <row r="15" spans="1:15" ht="15.6" x14ac:dyDescent="0.35">
      <c r="B15" t="s">
        <v>682</v>
      </c>
      <c r="C15" s="204"/>
      <c r="D15" s="53" t="s">
        <v>677</v>
      </c>
      <c r="E15" s="644">
        <f>SUM(E10,E13)</f>
        <v>1054.5840386</v>
      </c>
      <c r="F15" s="411">
        <v>1233.6746330000001</v>
      </c>
      <c r="G15" s="72">
        <f t="shared" si="0"/>
        <v>-0.14516841767629998</v>
      </c>
      <c r="H15" s="74" t="s">
        <v>216</v>
      </c>
      <c r="I15" s="74" t="s">
        <v>216</v>
      </c>
      <c r="J15" s="74" t="s">
        <v>216</v>
      </c>
    </row>
    <row r="16" spans="1:15" ht="16.8" x14ac:dyDescent="0.35">
      <c r="B16" t="s">
        <v>683</v>
      </c>
      <c r="C16" s="887" t="s">
        <v>684</v>
      </c>
      <c r="D16" s="53" t="s">
        <v>685</v>
      </c>
      <c r="E16" s="645">
        <f>E15/'2025 Asset list '!G28</f>
        <v>1.5248026930973655E-2</v>
      </c>
      <c r="F16" s="645">
        <v>1.6208255964740993E-2</v>
      </c>
      <c r="G16" s="72">
        <f t="shared" si="0"/>
        <v>-5.9243205182358573E-2</v>
      </c>
      <c r="H16" s="74" t="s">
        <v>216</v>
      </c>
      <c r="I16" s="74" t="s">
        <v>216</v>
      </c>
      <c r="J16" s="74" t="s">
        <v>216</v>
      </c>
    </row>
    <row r="17" spans="2:10" ht="14.4" x14ac:dyDescent="0.3">
      <c r="B17" t="s">
        <v>686</v>
      </c>
      <c r="C17" s="204"/>
      <c r="F17" s="206"/>
      <c r="G17" s="72"/>
      <c r="H17" s="74"/>
      <c r="I17" s="74"/>
      <c r="J17" s="74"/>
    </row>
    <row r="18" spans="2:10" ht="16.8" x14ac:dyDescent="0.35">
      <c r="B18" t="s">
        <v>687</v>
      </c>
      <c r="C18" s="205" t="s">
        <v>688</v>
      </c>
      <c r="D18" s="53" t="s">
        <v>677</v>
      </c>
      <c r="E18" s="411">
        <f>'Emissions 2025'!D37</f>
        <v>756.23</v>
      </c>
      <c r="F18" s="411">
        <v>818.16</v>
      </c>
      <c r="G18" s="72">
        <f t="shared" si="0"/>
        <v>-7.5694240735308435E-2</v>
      </c>
      <c r="H18" s="74" t="s">
        <v>216</v>
      </c>
      <c r="I18" s="74" t="s">
        <v>216</v>
      </c>
      <c r="J18" s="74" t="s">
        <v>216</v>
      </c>
    </row>
    <row r="19" spans="2:10" ht="14.4" x14ac:dyDescent="0.3">
      <c r="C19" s="205" t="s">
        <v>689</v>
      </c>
      <c r="D19" s="53"/>
      <c r="E19" s="411">
        <f>'Emissions 2025'!D38</f>
        <v>662.27</v>
      </c>
      <c r="F19" s="411">
        <v>782.13</v>
      </c>
      <c r="G19" s="72">
        <f t="shared" si="0"/>
        <v>-0.15324818124864154</v>
      </c>
      <c r="H19" s="74" t="s">
        <v>216</v>
      </c>
      <c r="I19" s="74" t="s">
        <v>216</v>
      </c>
      <c r="J19" s="74" t="s">
        <v>216</v>
      </c>
    </row>
    <row r="20" spans="2:10" ht="16.8" x14ac:dyDescent="0.35">
      <c r="B20" t="s">
        <v>690</v>
      </c>
      <c r="C20" s="203" t="s">
        <v>691</v>
      </c>
      <c r="D20" s="53" t="s">
        <v>677</v>
      </c>
      <c r="E20" s="411">
        <f>'Emissions 2025'!D39</f>
        <v>18916.22</v>
      </c>
      <c r="F20" s="411">
        <v>12338.02</v>
      </c>
      <c r="G20" s="72">
        <f t="shared" si="0"/>
        <v>0.53316496488091281</v>
      </c>
      <c r="H20" s="74" t="s">
        <v>31</v>
      </c>
      <c r="I20" s="74" t="s">
        <v>31</v>
      </c>
      <c r="J20" s="74" t="s">
        <v>216</v>
      </c>
    </row>
    <row r="21" spans="2:10" ht="16.8" x14ac:dyDescent="0.35">
      <c r="B21" t="s">
        <v>692</v>
      </c>
      <c r="C21" s="204" t="s">
        <v>693</v>
      </c>
      <c r="D21" s="53" t="s">
        <v>677</v>
      </c>
      <c r="E21" s="411">
        <f>'Emissions 2025'!D40</f>
        <v>215.39</v>
      </c>
      <c r="F21" s="411">
        <v>258.94</v>
      </c>
      <c r="G21" s="72">
        <f t="shared" si="0"/>
        <v>-0.16818568008032753</v>
      </c>
      <c r="H21" s="74" t="s">
        <v>31</v>
      </c>
      <c r="I21" s="74" t="s">
        <v>31</v>
      </c>
      <c r="J21" s="74" t="s">
        <v>216</v>
      </c>
    </row>
    <row r="22" spans="2:10" ht="16.8" x14ac:dyDescent="0.35">
      <c r="B22" t="s">
        <v>694</v>
      </c>
      <c r="C22" s="205" t="s">
        <v>695</v>
      </c>
      <c r="D22" s="53" t="s">
        <v>677</v>
      </c>
      <c r="E22" s="411">
        <f>'Emissions 2025'!D42</f>
        <v>50.92</v>
      </c>
      <c r="F22" s="411">
        <v>34.14</v>
      </c>
      <c r="G22" s="72">
        <f t="shared" si="0"/>
        <v>0.49150556531927359</v>
      </c>
      <c r="H22" s="74" t="s">
        <v>31</v>
      </c>
      <c r="I22" s="74" t="s">
        <v>216</v>
      </c>
      <c r="J22" s="74" t="s">
        <v>216</v>
      </c>
    </row>
    <row r="23" spans="2:10" ht="16.8" x14ac:dyDescent="0.35">
      <c r="B23" t="s">
        <v>696</v>
      </c>
      <c r="C23" s="204" t="s">
        <v>697</v>
      </c>
      <c r="D23" s="53" t="s">
        <v>677</v>
      </c>
      <c r="E23" s="411">
        <f>'Emissions 2025'!D43</f>
        <v>23.4</v>
      </c>
      <c r="F23" s="411">
        <v>24.79</v>
      </c>
      <c r="G23" s="72">
        <f t="shared" si="0"/>
        <v>-5.6070996369503856E-2</v>
      </c>
      <c r="H23" s="74" t="s">
        <v>31</v>
      </c>
      <c r="I23" s="74" t="s">
        <v>216</v>
      </c>
      <c r="J23" s="74" t="s">
        <v>216</v>
      </c>
    </row>
    <row r="24" spans="2:10" ht="16.8" x14ac:dyDescent="0.35">
      <c r="B24" t="s">
        <v>698</v>
      </c>
      <c r="C24" s="205" t="s">
        <v>699</v>
      </c>
      <c r="D24" s="53" t="s">
        <v>677</v>
      </c>
      <c r="E24" s="411">
        <f>'Emissions 2025'!D44</f>
        <v>19.73</v>
      </c>
      <c r="F24" s="411">
        <v>22.75</v>
      </c>
      <c r="G24" s="72">
        <f t="shared" si="0"/>
        <v>-0.13274725274725274</v>
      </c>
      <c r="H24" s="74" t="s">
        <v>216</v>
      </c>
      <c r="I24" s="74" t="s">
        <v>216</v>
      </c>
      <c r="J24" s="74" t="s">
        <v>216</v>
      </c>
    </row>
    <row r="25" spans="2:10" ht="16.8" x14ac:dyDescent="0.35">
      <c r="B25" t="s">
        <v>700</v>
      </c>
      <c r="C25" s="205" t="s">
        <v>701</v>
      </c>
      <c r="D25" s="53" t="s">
        <v>677</v>
      </c>
      <c r="E25" s="411">
        <f>'Emissions 2025'!D50</f>
        <v>2421.0700000000002</v>
      </c>
      <c r="F25" s="411">
        <v>2875.1497509999999</v>
      </c>
      <c r="G25" s="72">
        <f t="shared" si="0"/>
        <v>-0.15793255667537567</v>
      </c>
      <c r="H25" s="74" t="s">
        <v>31</v>
      </c>
      <c r="I25" s="74" t="s">
        <v>31</v>
      </c>
      <c r="J25" s="74" t="s">
        <v>31</v>
      </c>
    </row>
    <row r="26" spans="2:10" ht="14.4" x14ac:dyDescent="0.3">
      <c r="C26" s="204"/>
      <c r="F26" s="206"/>
      <c r="G26" s="72"/>
      <c r="H26" s="74"/>
      <c r="I26" s="74"/>
      <c r="J26" s="74"/>
    </row>
    <row r="27" spans="2:10" ht="15.6" x14ac:dyDescent="0.35">
      <c r="B27" t="s">
        <v>702</v>
      </c>
      <c r="D27" s="53" t="s">
        <v>677</v>
      </c>
      <c r="E27" s="411">
        <f>SUM(E18:E25)</f>
        <v>23065.23</v>
      </c>
      <c r="F27" s="411">
        <v>17154.079751000001</v>
      </c>
      <c r="G27" s="72">
        <f t="shared" si="0"/>
        <v>0.34459151028812296</v>
      </c>
      <c r="H27" s="74"/>
      <c r="I27" s="74"/>
      <c r="J27" s="74"/>
    </row>
    <row r="28" spans="2:10" ht="14.4" x14ac:dyDescent="0.3">
      <c r="F28" s="206"/>
      <c r="G28" s="72"/>
      <c r="H28" s="74"/>
      <c r="I28" s="74"/>
      <c r="J28" s="74"/>
    </row>
    <row r="29" spans="2:10" ht="16.2" thickBot="1" x14ac:dyDescent="0.4">
      <c r="B29" s="73" t="s">
        <v>703</v>
      </c>
      <c r="C29" s="73"/>
      <c r="D29" s="61" t="s">
        <v>677</v>
      </c>
      <c r="E29" s="888">
        <f>SUM(E15,E27)</f>
        <v>24119.814038600001</v>
      </c>
      <c r="F29" s="888">
        <v>18387.754384</v>
      </c>
      <c r="G29" s="889">
        <f t="shared" si="0"/>
        <v>0.31173244621908375</v>
      </c>
      <c r="H29" s="646"/>
      <c r="I29" s="646"/>
      <c r="J29" s="646"/>
    </row>
    <row r="31" spans="2:10" ht="16.2" x14ac:dyDescent="0.3">
      <c r="B31" t="s">
        <v>644</v>
      </c>
    </row>
  </sheetData>
  <sheetProtection sheet="1" objects="1" scenarios="1"/>
  <pageMargins left="0.7" right="0.7" top="0.75" bottom="0.75" header="0.3" footer="0.3"/>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2EBB-C7DB-472B-80F5-21227BD3E8B9}">
  <sheetPr>
    <tabColor rgb="FF00B050"/>
  </sheetPr>
  <dimension ref="A2:O32"/>
  <sheetViews>
    <sheetView showGridLines="0" zoomScale="71" zoomScaleNormal="100" workbookViewId="0">
      <selection activeCell="B36" sqref="B36"/>
    </sheetView>
  </sheetViews>
  <sheetFormatPr defaultRowHeight="14.4" x14ac:dyDescent="0.3"/>
  <cols>
    <col min="1" max="1" width="3.44140625" customWidth="1"/>
    <col min="2" max="2" width="47.21875" customWidth="1"/>
    <col min="13" max="13" width="11" bestFit="1" customWidth="1"/>
  </cols>
  <sheetData>
    <row r="2" spans="1:15" ht="12" customHeight="1" x14ac:dyDescent="0.6">
      <c r="A2" s="71"/>
    </row>
    <row r="3" spans="1:15" ht="31.2" x14ac:dyDescent="0.6">
      <c r="A3" s="71"/>
      <c r="B3" s="71" t="s">
        <v>464</v>
      </c>
      <c r="C3" s="71"/>
      <c r="F3" s="71"/>
    </row>
    <row r="5" spans="1:15" ht="21" x14ac:dyDescent="0.4">
      <c r="B5" s="70" t="s">
        <v>469</v>
      </c>
      <c r="C5" s="62"/>
      <c r="D5" s="62"/>
      <c r="E5" s="62"/>
      <c r="F5" s="62"/>
      <c r="G5" s="62"/>
      <c r="H5" s="62"/>
      <c r="I5" s="62"/>
      <c r="J5" s="62"/>
      <c r="K5" s="62"/>
      <c r="L5" s="62"/>
      <c r="M5" s="62"/>
      <c r="N5" s="62"/>
      <c r="O5" s="62"/>
    </row>
    <row r="7" spans="1:15" s="78" customFormat="1" ht="17.399999999999999" x14ac:dyDescent="0.3">
      <c r="B7" s="84" t="s">
        <v>1597</v>
      </c>
      <c r="C7" s="84"/>
      <c r="D7" s="84"/>
      <c r="E7" s="84"/>
      <c r="F7" s="84"/>
      <c r="G7" s="84"/>
      <c r="H7" s="84"/>
      <c r="I7" s="84"/>
      <c r="J7" s="83"/>
      <c r="K7" s="83"/>
      <c r="L7" s="83" t="s">
        <v>704</v>
      </c>
      <c r="M7" s="83" t="s">
        <v>705</v>
      </c>
      <c r="N7" s="84"/>
      <c r="O7" s="84" t="s">
        <v>466</v>
      </c>
    </row>
    <row r="8" spans="1:15" x14ac:dyDescent="0.3">
      <c r="B8" t="s">
        <v>706</v>
      </c>
      <c r="J8" s="82"/>
      <c r="K8" s="82"/>
      <c r="L8" s="82">
        <v>3</v>
      </c>
      <c r="M8" s="82">
        <v>3</v>
      </c>
      <c r="O8">
        <v>6</v>
      </c>
    </row>
    <row r="9" spans="1:15" x14ac:dyDescent="0.3">
      <c r="B9" t="s">
        <v>707</v>
      </c>
      <c r="J9" s="82"/>
      <c r="K9" s="82"/>
      <c r="L9" s="491">
        <v>35.381077340902515</v>
      </c>
      <c r="M9" s="491">
        <v>24.49157268350546</v>
      </c>
      <c r="O9" s="106">
        <v>59.872650024407974</v>
      </c>
    </row>
    <row r="10" spans="1:15" ht="15" thickBot="1" x14ac:dyDescent="0.35">
      <c r="B10" s="62" t="s">
        <v>708</v>
      </c>
      <c r="C10" s="62"/>
      <c r="D10" s="62"/>
      <c r="E10" s="62"/>
      <c r="F10" s="62"/>
      <c r="G10" s="62"/>
      <c r="H10" s="62"/>
      <c r="I10" s="62"/>
      <c r="J10" s="80"/>
      <c r="K10" s="80"/>
      <c r="L10" s="490">
        <v>37.338216018911865</v>
      </c>
      <c r="M10" s="490">
        <v>41.140001730445988</v>
      </c>
      <c r="N10" s="62"/>
      <c r="O10" s="107">
        <v>78.478217749357853</v>
      </c>
    </row>
    <row r="11" spans="1:15" x14ac:dyDescent="0.3">
      <c r="J11" s="82"/>
      <c r="K11" s="82"/>
      <c r="L11" s="82"/>
      <c r="M11" s="82"/>
    </row>
    <row r="12" spans="1:15" s="78" customFormat="1" ht="17.399999999999999" x14ac:dyDescent="0.3">
      <c r="B12" s="84" t="s">
        <v>1598</v>
      </c>
      <c r="C12" s="84"/>
      <c r="D12" s="84"/>
      <c r="E12" s="84"/>
      <c r="F12" s="84"/>
      <c r="G12" s="84"/>
      <c r="H12" s="84"/>
      <c r="I12" s="84"/>
      <c r="J12" s="83"/>
      <c r="K12" s="83"/>
      <c r="L12" s="83" t="s">
        <v>704</v>
      </c>
      <c r="M12" s="83" t="s">
        <v>705</v>
      </c>
      <c r="N12" s="84"/>
      <c r="O12" s="84" t="s">
        <v>466</v>
      </c>
    </row>
    <row r="13" spans="1:15" x14ac:dyDescent="0.3">
      <c r="B13" t="s">
        <v>706</v>
      </c>
      <c r="J13" s="82"/>
      <c r="K13" s="82"/>
      <c r="L13" s="82">
        <v>0</v>
      </c>
      <c r="M13" s="82">
        <v>2</v>
      </c>
      <c r="O13">
        <v>2</v>
      </c>
    </row>
    <row r="14" spans="1:15" x14ac:dyDescent="0.3">
      <c r="B14" t="s">
        <v>707</v>
      </c>
      <c r="J14" s="82"/>
      <c r="K14" s="82"/>
      <c r="L14" s="491">
        <v>0</v>
      </c>
      <c r="M14" s="491">
        <v>30.388476504958263</v>
      </c>
      <c r="O14" s="106">
        <v>30.388476504958263</v>
      </c>
    </row>
    <row r="15" spans="1:15" ht="15" thickBot="1" x14ac:dyDescent="0.35">
      <c r="B15" s="62" t="s">
        <v>708</v>
      </c>
      <c r="C15" s="62"/>
      <c r="D15" s="62"/>
      <c r="E15" s="62"/>
      <c r="F15" s="62"/>
      <c r="G15" s="62"/>
      <c r="H15" s="62"/>
      <c r="I15" s="62"/>
      <c r="J15" s="80"/>
      <c r="K15" s="80"/>
      <c r="L15" s="490">
        <v>0</v>
      </c>
      <c r="M15" s="490">
        <v>52.155776183382152</v>
      </c>
      <c r="N15" s="62"/>
      <c r="O15" s="107">
        <v>52.155776183382152</v>
      </c>
    </row>
    <row r="16" spans="1:15" x14ac:dyDescent="0.3">
      <c r="J16" s="82"/>
      <c r="K16" s="82"/>
      <c r="L16" s="82"/>
      <c r="M16" s="82"/>
    </row>
    <row r="17" spans="2:15" s="78" customFormat="1" ht="17.399999999999999" x14ac:dyDescent="0.3">
      <c r="B17" s="84" t="s">
        <v>1599</v>
      </c>
      <c r="C17" s="84"/>
      <c r="D17" s="84"/>
      <c r="E17" s="84"/>
      <c r="F17" s="84"/>
      <c r="G17" s="84"/>
      <c r="H17" s="84"/>
      <c r="I17" s="84"/>
      <c r="J17" s="84"/>
      <c r="K17" s="84"/>
      <c r="L17" s="84"/>
      <c r="M17" s="84" t="s">
        <v>709</v>
      </c>
      <c r="N17" s="84"/>
      <c r="O17" s="84" t="s">
        <v>466</v>
      </c>
    </row>
    <row r="18" spans="2:15" x14ac:dyDescent="0.3">
      <c r="B18" t="s">
        <v>706</v>
      </c>
      <c r="M18">
        <v>8</v>
      </c>
      <c r="O18">
        <v>8</v>
      </c>
    </row>
    <row r="19" spans="2:15" x14ac:dyDescent="0.3">
      <c r="B19" t="s">
        <v>710</v>
      </c>
      <c r="M19" s="106">
        <v>76.032288406168334</v>
      </c>
      <c r="O19" s="106">
        <v>76.032288406168334</v>
      </c>
    </row>
    <row r="20" spans="2:15" ht="15" thickBot="1" x14ac:dyDescent="0.35">
      <c r="B20" s="62" t="s">
        <v>708</v>
      </c>
      <c r="C20" s="62"/>
      <c r="D20" s="62"/>
      <c r="E20" s="62"/>
      <c r="F20" s="62"/>
      <c r="G20" s="62"/>
      <c r="H20" s="62"/>
      <c r="I20" s="62"/>
      <c r="J20" s="62"/>
      <c r="K20" s="62"/>
      <c r="L20" s="62"/>
      <c r="M20" s="107">
        <v>100</v>
      </c>
      <c r="N20" s="62"/>
      <c r="O20" s="107">
        <v>100</v>
      </c>
    </row>
    <row r="22" spans="2:15" s="78" customFormat="1" ht="17.399999999999999" x14ac:dyDescent="0.3">
      <c r="B22" s="84" t="s">
        <v>1600</v>
      </c>
      <c r="C22" s="84"/>
      <c r="D22" s="84"/>
      <c r="E22" s="84"/>
      <c r="F22" s="84"/>
      <c r="G22" s="84"/>
      <c r="H22" s="84"/>
      <c r="I22" s="84"/>
      <c r="J22" s="84"/>
      <c r="K22" s="84"/>
      <c r="L22" s="84"/>
      <c r="M22" s="84"/>
      <c r="N22" s="84"/>
      <c r="O22" s="84"/>
    </row>
    <row r="23" spans="2:15" ht="15.6" x14ac:dyDescent="0.3">
      <c r="B23" s="84" t="s">
        <v>711</v>
      </c>
      <c r="C23" s="83" t="s">
        <v>712</v>
      </c>
      <c r="D23" s="83" t="s">
        <v>713</v>
      </c>
      <c r="E23" s="83" t="s">
        <v>714</v>
      </c>
      <c r="F23" s="83" t="s">
        <v>715</v>
      </c>
      <c r="G23" s="83" t="s">
        <v>716</v>
      </c>
      <c r="H23" s="83" t="s">
        <v>717</v>
      </c>
      <c r="I23" s="83" t="s">
        <v>718</v>
      </c>
      <c r="J23" s="83" t="s">
        <v>719</v>
      </c>
      <c r="K23" s="83" t="s">
        <v>720</v>
      </c>
      <c r="L23" s="83" t="s">
        <v>721</v>
      </c>
      <c r="M23" s="83" t="s">
        <v>722</v>
      </c>
      <c r="N23" s="83" t="s">
        <v>723</v>
      </c>
      <c r="O23" s="83" t="s">
        <v>724</v>
      </c>
    </row>
    <row r="24" spans="2:15" x14ac:dyDescent="0.3">
      <c r="B24" t="s">
        <v>725</v>
      </c>
      <c r="C24" s="82">
        <v>0</v>
      </c>
      <c r="D24" s="82">
        <v>0</v>
      </c>
      <c r="E24" s="109">
        <v>38.631953428201804</v>
      </c>
      <c r="F24" s="109">
        <v>21.814359637774899</v>
      </c>
      <c r="G24" s="109">
        <v>15.766494178525223</v>
      </c>
      <c r="H24" s="109">
        <v>0</v>
      </c>
      <c r="I24" s="109">
        <v>1.7464424320827943</v>
      </c>
      <c r="J24" s="109">
        <v>12.273609314359636</v>
      </c>
      <c r="K24" s="109">
        <v>1.0510996119016816</v>
      </c>
      <c r="L24" s="109">
        <v>8.4573091849935302</v>
      </c>
      <c r="M24" s="109">
        <v>0</v>
      </c>
      <c r="N24" s="109">
        <v>0</v>
      </c>
      <c r="O24" s="109">
        <v>0.25873221216041398</v>
      </c>
    </row>
    <row r="25" spans="2:15" ht="15" thickBot="1" x14ac:dyDescent="0.35">
      <c r="B25" s="62" t="s">
        <v>726</v>
      </c>
      <c r="C25" s="80">
        <v>0</v>
      </c>
      <c r="D25" s="80">
        <v>0</v>
      </c>
      <c r="E25" s="110">
        <v>19.840079960019988</v>
      </c>
      <c r="F25" s="110">
        <v>22.472097284690985</v>
      </c>
      <c r="G25" s="110">
        <v>30.917874396135257</v>
      </c>
      <c r="H25" s="110">
        <v>6.5134099616858236</v>
      </c>
      <c r="I25" s="110">
        <v>0</v>
      </c>
      <c r="J25" s="110">
        <v>11.544227886056969</v>
      </c>
      <c r="K25" s="110">
        <v>0</v>
      </c>
      <c r="L25" s="110">
        <v>8.7123105114109602</v>
      </c>
      <c r="M25" s="110">
        <v>0</v>
      </c>
      <c r="N25" s="110">
        <v>0</v>
      </c>
      <c r="O25" s="110">
        <v>0</v>
      </c>
    </row>
    <row r="26" spans="2:15" x14ac:dyDescent="0.3">
      <c r="C26" s="82"/>
      <c r="D26" s="82"/>
      <c r="E26" s="82"/>
      <c r="F26" s="82"/>
      <c r="G26" s="82"/>
      <c r="H26" s="82"/>
      <c r="I26" s="82"/>
      <c r="J26" s="82"/>
      <c r="K26" s="82"/>
      <c r="L26" s="82"/>
      <c r="M26" s="82"/>
      <c r="N26" s="82"/>
      <c r="O26" s="82"/>
    </row>
    <row r="27" spans="2:15" s="78" customFormat="1" ht="17.399999999999999" x14ac:dyDescent="0.3">
      <c r="B27" s="84" t="s">
        <v>1601</v>
      </c>
      <c r="C27" s="83"/>
      <c r="D27" s="83"/>
      <c r="E27" s="83"/>
      <c r="F27" s="83"/>
      <c r="G27" s="83"/>
      <c r="H27" s="83"/>
      <c r="I27" s="83"/>
      <c r="J27" s="83"/>
      <c r="K27" s="83"/>
      <c r="L27" s="83"/>
      <c r="M27" s="83"/>
      <c r="N27" s="83"/>
      <c r="O27" s="83"/>
    </row>
    <row r="28" spans="2:15" ht="15.6" x14ac:dyDescent="0.3">
      <c r="B28" s="84" t="s">
        <v>711</v>
      </c>
      <c r="C28" s="83" t="s">
        <v>712</v>
      </c>
      <c r="D28" s="83" t="s">
        <v>713</v>
      </c>
      <c r="E28" s="83" t="s">
        <v>714</v>
      </c>
      <c r="F28" s="83" t="s">
        <v>715</v>
      </c>
      <c r="G28" s="83" t="s">
        <v>716</v>
      </c>
      <c r="H28" s="83" t="s">
        <v>717</v>
      </c>
      <c r="I28" s="83" t="s">
        <v>718</v>
      </c>
      <c r="J28" s="83" t="s">
        <v>719</v>
      </c>
      <c r="K28" s="83" t="s">
        <v>720</v>
      </c>
      <c r="L28" s="83" t="s">
        <v>721</v>
      </c>
      <c r="M28" s="83" t="s">
        <v>722</v>
      </c>
      <c r="N28" s="83" t="s">
        <v>723</v>
      </c>
      <c r="O28" s="83" t="s">
        <v>724</v>
      </c>
    </row>
    <row r="29" spans="2:15" x14ac:dyDescent="0.3">
      <c r="B29" t="s">
        <v>725</v>
      </c>
      <c r="C29" s="82">
        <v>0</v>
      </c>
      <c r="D29" s="82">
        <v>0</v>
      </c>
      <c r="E29" s="109">
        <v>37.79474435626922</v>
      </c>
      <c r="F29" s="109">
        <v>20.395997522730472</v>
      </c>
      <c r="G29" s="109">
        <v>20.002050870301751</v>
      </c>
      <c r="H29" s="109">
        <v>0</v>
      </c>
      <c r="I29" s="109">
        <v>2.8783373814763507</v>
      </c>
      <c r="J29" s="109">
        <v>10.795466419429269</v>
      </c>
      <c r="K29" s="109">
        <v>1.2408560557846626</v>
      </c>
      <c r="L29" s="109">
        <v>6.5125426166020945</v>
      </c>
      <c r="M29" s="109">
        <v>0</v>
      </c>
      <c r="N29" s="109">
        <v>0</v>
      </c>
      <c r="O29" s="109">
        <v>0.38000477740618849</v>
      </c>
    </row>
    <row r="30" spans="2:15" ht="15" thickBot="1" x14ac:dyDescent="0.35">
      <c r="B30" s="62" t="s">
        <v>726</v>
      </c>
      <c r="C30" s="80">
        <v>0</v>
      </c>
      <c r="D30" s="80">
        <v>0</v>
      </c>
      <c r="E30" s="110">
        <v>20.403601769620181</v>
      </c>
      <c r="F30" s="110">
        <v>20.793498089498403</v>
      </c>
      <c r="G30" s="110">
        <v>35.760527083351192</v>
      </c>
      <c r="H30" s="110">
        <v>7.1172539196240825</v>
      </c>
      <c r="I30" s="110">
        <v>0</v>
      </c>
      <c r="J30" s="110">
        <v>9.2856526295789727</v>
      </c>
      <c r="K30" s="110">
        <v>0</v>
      </c>
      <c r="L30" s="110">
        <v>6.6394665083271551</v>
      </c>
      <c r="M30" s="110">
        <v>0</v>
      </c>
      <c r="N30" s="110">
        <v>0</v>
      </c>
      <c r="O30" s="110">
        <v>0</v>
      </c>
    </row>
    <row r="32" spans="2:15" ht="16.2" x14ac:dyDescent="0.3">
      <c r="B32" t="s">
        <v>644</v>
      </c>
    </row>
  </sheetData>
  <sheetProtection sheet="1" objects="1" scenarios="1"/>
  <pageMargins left="0.7" right="0.7" top="0.75" bottom="0.75" header="0.3" footer="0.3"/>
  <pageSetup paperSize="9" orientation="portrait" horizontalDpi="4294967293"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0DF95-FE57-4A04-968C-515CF9AFC870}">
  <sheetPr codeName="Sheet18">
    <tabColor rgb="FF00B050"/>
  </sheetPr>
  <dimension ref="A2:H33"/>
  <sheetViews>
    <sheetView showGridLines="0" topLeftCell="B1" zoomScale="79" workbookViewId="0">
      <selection activeCell="D14" sqref="D14:E14"/>
    </sheetView>
  </sheetViews>
  <sheetFormatPr defaultRowHeight="15" customHeight="1" x14ac:dyDescent="0.3"/>
  <cols>
    <col min="1" max="1" width="4.5546875" customWidth="1"/>
    <col min="2" max="2" width="96" customWidth="1"/>
    <col min="3" max="4" width="18" customWidth="1"/>
    <col min="5" max="5" width="14.109375" customWidth="1"/>
    <col min="6" max="6" width="12" customWidth="1"/>
    <col min="7" max="7" width="72.21875" customWidth="1"/>
  </cols>
  <sheetData>
    <row r="2" spans="1:7" ht="12" customHeight="1" x14ac:dyDescent="0.6">
      <c r="A2" s="71"/>
    </row>
    <row r="3" spans="1:7" ht="31.2" x14ac:dyDescent="0.6">
      <c r="A3" s="71"/>
      <c r="B3" s="71" t="s">
        <v>464</v>
      </c>
      <c r="G3" s="71"/>
    </row>
    <row r="5" spans="1:7" ht="21.6" thickBot="1" x14ac:dyDescent="0.45">
      <c r="B5" s="70" t="s">
        <v>470</v>
      </c>
      <c r="C5" s="73"/>
      <c r="D5" s="73"/>
      <c r="E5" s="73"/>
      <c r="F5" s="73"/>
      <c r="G5" s="73"/>
    </row>
    <row r="7" spans="1:7" ht="15.6" x14ac:dyDescent="0.3">
      <c r="B7" s="76" t="s">
        <v>727</v>
      </c>
      <c r="C7" s="76" t="s">
        <v>9</v>
      </c>
      <c r="D7" s="76">
        <v>2025</v>
      </c>
      <c r="E7" s="86">
        <v>2024</v>
      </c>
      <c r="F7" s="76" t="s">
        <v>728</v>
      </c>
      <c r="G7" s="76" t="s">
        <v>729</v>
      </c>
    </row>
    <row r="8" spans="1:7" ht="15.75" customHeight="1" x14ac:dyDescent="0.3">
      <c r="B8" t="s">
        <v>730</v>
      </c>
      <c r="C8" t="s">
        <v>731</v>
      </c>
      <c r="D8" s="206">
        <f>'3'!D26 / '3'!D33</f>
        <v>85.332707163789664</v>
      </c>
      <c r="E8" s="492">
        <v>82</v>
      </c>
      <c r="F8" s="72">
        <f>(D8-E8)/E8</f>
        <v>4.0642770290117848E-2</v>
      </c>
      <c r="G8" t="s">
        <v>732</v>
      </c>
    </row>
    <row r="9" spans="1:7" ht="15.75" customHeight="1" x14ac:dyDescent="0.3">
      <c r="B9" t="s">
        <v>733</v>
      </c>
      <c r="C9" t="s">
        <v>731</v>
      </c>
      <c r="D9" s="106">
        <f>'3'!D30 / '3'!D33</f>
        <v>20.256935166710043</v>
      </c>
      <c r="E9" s="492">
        <v>42</v>
      </c>
      <c r="F9" s="72">
        <f t="shared" ref="F9:F26" si="0">(D9-E9)/E9</f>
        <v>-0.51769201984023705</v>
      </c>
      <c r="G9" t="s">
        <v>732</v>
      </c>
    </row>
    <row r="10" spans="1:7" ht="15.75" customHeight="1" x14ac:dyDescent="0.3">
      <c r="B10" t="s">
        <v>549</v>
      </c>
      <c r="C10" t="s">
        <v>731</v>
      </c>
      <c r="D10" s="106">
        <f>'3'!D35</f>
        <v>102.55763437815594</v>
      </c>
      <c r="E10" s="784">
        <v>124.57215098976837</v>
      </c>
      <c r="F10" s="72">
        <f>(D10-E10)/E10</f>
        <v>-0.17672101217406594</v>
      </c>
      <c r="G10" t="s">
        <v>732</v>
      </c>
    </row>
    <row r="11" spans="1:7" ht="15.75" customHeight="1" x14ac:dyDescent="0.3">
      <c r="B11" s="368" t="s">
        <v>734</v>
      </c>
      <c r="C11" t="s">
        <v>735</v>
      </c>
      <c r="D11" s="72">
        <f>'Target EUI'!M14</f>
        <v>-2.5576343781559263E-2</v>
      </c>
      <c r="E11" s="493">
        <v>0.19</v>
      </c>
      <c r="F11" s="72">
        <f t="shared" si="0"/>
        <v>-1.1346123356924172</v>
      </c>
      <c r="G11" t="s">
        <v>732</v>
      </c>
    </row>
    <row r="12" spans="1:7" ht="15.75" customHeight="1" x14ac:dyDescent="0.35">
      <c r="B12" t="s">
        <v>736</v>
      </c>
      <c r="C12" t="s">
        <v>737</v>
      </c>
      <c r="D12" s="543">
        <f>'Emissions 2025'!N3</f>
        <v>1.5248026930973655E-2</v>
      </c>
      <c r="E12" s="492">
        <v>1.6E-2</v>
      </c>
      <c r="F12" s="72">
        <f t="shared" si="0"/>
        <v>-4.6998316814146554E-2</v>
      </c>
      <c r="G12" t="s">
        <v>732</v>
      </c>
    </row>
    <row r="13" spans="1:7" ht="15.75" customHeight="1" x14ac:dyDescent="0.35">
      <c r="B13" t="s">
        <v>738</v>
      </c>
      <c r="C13" t="s">
        <v>737</v>
      </c>
      <c r="D13" s="543">
        <f>'Emissions 2025'!D50/'2025 Asset list '!I24</f>
        <v>2.0725534634935067E-2</v>
      </c>
      <c r="E13" s="492">
        <v>1.9E-2</v>
      </c>
      <c r="F13" s="72">
        <f t="shared" si="0"/>
        <v>9.0817612365003533E-2</v>
      </c>
      <c r="G13" t="s">
        <v>739</v>
      </c>
    </row>
    <row r="14" spans="1:7" ht="15.75" customHeight="1" x14ac:dyDescent="0.35">
      <c r="B14" t="s">
        <v>740</v>
      </c>
      <c r="C14" t="s">
        <v>741</v>
      </c>
      <c r="D14" s="543">
        <f>'6'!E29/'2025 Asset list '!J24</f>
        <v>5.1072322861139754E-4</v>
      </c>
      <c r="E14" s="890">
        <v>3.5500000000000001E-4</v>
      </c>
      <c r="F14" s="72">
        <f t="shared" si="0"/>
        <v>0.43865698200393666</v>
      </c>
      <c r="G14" t="s">
        <v>742</v>
      </c>
    </row>
    <row r="15" spans="1:7" ht="15.75" customHeight="1" x14ac:dyDescent="0.3">
      <c r="B15" t="s">
        <v>743</v>
      </c>
      <c r="C15" t="s">
        <v>744</v>
      </c>
      <c r="D15" s="543">
        <f>'4'!D17</f>
        <v>0.21428960890055024</v>
      </c>
      <c r="E15" s="492">
        <v>0.17</v>
      </c>
      <c r="F15" s="72">
        <f t="shared" si="0"/>
        <v>0.26052711117970717</v>
      </c>
      <c r="G15" t="s">
        <v>732</v>
      </c>
    </row>
    <row r="16" spans="1:7" ht="15.75" customHeight="1" x14ac:dyDescent="0.3">
      <c r="B16" t="s">
        <v>745</v>
      </c>
      <c r="C16" t="s">
        <v>65</v>
      </c>
      <c r="D16" s="106">
        <f>'5'!D8</f>
        <v>794.88357577610657</v>
      </c>
      <c r="E16" s="784">
        <f>'5'!E8</f>
        <v>788.66</v>
      </c>
      <c r="F16" s="72">
        <f t="shared" si="0"/>
        <v>7.8913293131471097E-3</v>
      </c>
      <c r="G16" t="s">
        <v>746</v>
      </c>
    </row>
    <row r="17" spans="2:8" ht="15.75" customHeight="1" x14ac:dyDescent="0.3">
      <c r="B17" t="s">
        <v>747</v>
      </c>
      <c r="C17" t="s">
        <v>117</v>
      </c>
      <c r="D17" s="72">
        <f>SUM('5'!D21:D22)</f>
        <v>0.6493769983607125</v>
      </c>
      <c r="E17" s="493">
        <v>0.64</v>
      </c>
      <c r="F17" s="72">
        <f t="shared" si="0"/>
        <v>1.4651559938613258E-2</v>
      </c>
      <c r="G17" t="s">
        <v>732</v>
      </c>
    </row>
    <row r="18" spans="2:8" ht="15.75" customHeight="1" x14ac:dyDescent="0.3">
      <c r="B18" t="s">
        <v>748</v>
      </c>
      <c r="C18" t="s">
        <v>117</v>
      </c>
      <c r="D18" s="106">
        <f>'7'!O10</f>
        <v>78.478217749357853</v>
      </c>
      <c r="E18" s="492">
        <v>69</v>
      </c>
      <c r="F18" s="72">
        <f t="shared" si="0"/>
        <v>0.13736547462837467</v>
      </c>
      <c r="G18" t="s">
        <v>732</v>
      </c>
    </row>
    <row r="19" spans="2:8" ht="15.75" customHeight="1" x14ac:dyDescent="0.3">
      <c r="B19" t="s">
        <v>749</v>
      </c>
      <c r="C19" t="s">
        <v>117</v>
      </c>
      <c r="D19" s="106">
        <f>'7'!O15</f>
        <v>52.155776183382152</v>
      </c>
      <c r="E19" s="492">
        <v>45</v>
      </c>
      <c r="F19" s="72">
        <f t="shared" si="0"/>
        <v>0.15901724851960336</v>
      </c>
      <c r="G19" t="s">
        <v>732</v>
      </c>
    </row>
    <row r="20" spans="2:8" ht="15.75" customHeight="1" x14ac:dyDescent="0.3">
      <c r="B20" t="s">
        <v>750</v>
      </c>
      <c r="C20" t="s">
        <v>117</v>
      </c>
      <c r="D20" s="106">
        <f>SUM('7'!E30:H30)</f>
        <v>84.074880862093849</v>
      </c>
      <c r="E20" s="492">
        <v>78</v>
      </c>
      <c r="F20" s="72">
        <f t="shared" si="0"/>
        <v>7.7883087975562162E-2</v>
      </c>
      <c r="G20" t="s">
        <v>751</v>
      </c>
    </row>
    <row r="21" spans="2:8" ht="15.75" customHeight="1" x14ac:dyDescent="0.3">
      <c r="B21" t="s">
        <v>752</v>
      </c>
      <c r="C21" t="s">
        <v>396</v>
      </c>
      <c r="D21" s="206">
        <v>50000</v>
      </c>
      <c r="E21" s="494">
        <v>2410000</v>
      </c>
      <c r="F21" s="72">
        <f t="shared" si="0"/>
        <v>-0.97925311203319498</v>
      </c>
      <c r="G21" t="s">
        <v>753</v>
      </c>
    </row>
    <row r="22" spans="2:8" ht="15.75" customHeight="1" x14ac:dyDescent="0.3">
      <c r="B22" t="s">
        <v>754</v>
      </c>
      <c r="C22" t="s">
        <v>35</v>
      </c>
      <c r="D22">
        <v>0</v>
      </c>
      <c r="E22" s="494">
        <v>57454</v>
      </c>
      <c r="F22" s="72">
        <f t="shared" si="0"/>
        <v>-1</v>
      </c>
      <c r="G22" t="s">
        <v>755</v>
      </c>
    </row>
    <row r="23" spans="2:8" ht="15.75" customHeight="1" x14ac:dyDescent="0.35">
      <c r="B23" t="s">
        <v>756</v>
      </c>
      <c r="C23" t="s">
        <v>757</v>
      </c>
      <c r="D23">
        <v>10</v>
      </c>
      <c r="E23" s="492">
        <v>14</v>
      </c>
      <c r="F23" s="72">
        <f t="shared" si="0"/>
        <v>-0.2857142857142857</v>
      </c>
    </row>
    <row r="24" spans="2:8" ht="31.5" customHeight="1" x14ac:dyDescent="0.3">
      <c r="B24" t="s">
        <v>758</v>
      </c>
      <c r="C24" t="s">
        <v>396</v>
      </c>
      <c r="D24" s="206">
        <f>'Emissions 2025'!D39*70</f>
        <v>1324135.4000000001</v>
      </c>
      <c r="E24" s="494">
        <v>860000</v>
      </c>
      <c r="F24" s="72">
        <f t="shared" si="0"/>
        <v>0.53969232558139546</v>
      </c>
      <c r="G24" s="6" t="s">
        <v>759</v>
      </c>
      <c r="H24" t="s">
        <v>760</v>
      </c>
    </row>
    <row r="25" spans="2:8" ht="15.75" customHeight="1" x14ac:dyDescent="0.3">
      <c r="B25" s="6" t="s">
        <v>761</v>
      </c>
      <c r="C25" t="s">
        <v>117</v>
      </c>
      <c r="D25">
        <v>6</v>
      </c>
      <c r="E25" s="492">
        <v>100</v>
      </c>
      <c r="F25" s="72">
        <f t="shared" si="0"/>
        <v>-0.94</v>
      </c>
    </row>
    <row r="26" spans="2:8" ht="15.75" customHeight="1" x14ac:dyDescent="0.3">
      <c r="B26" s="6" t="s">
        <v>762</v>
      </c>
      <c r="C26" t="s">
        <v>763</v>
      </c>
      <c r="D26">
        <v>22</v>
      </c>
      <c r="E26" s="492">
        <v>22</v>
      </c>
      <c r="F26" s="72">
        <f t="shared" si="0"/>
        <v>0</v>
      </c>
      <c r="G26" t="s">
        <v>764</v>
      </c>
    </row>
    <row r="27" spans="2:8" ht="14.4" x14ac:dyDescent="0.3">
      <c r="B27" s="166"/>
      <c r="C27" s="166"/>
      <c r="D27" s="166"/>
      <c r="E27" s="166"/>
      <c r="F27" s="166"/>
      <c r="G27" s="166"/>
    </row>
    <row r="29" spans="2:8" ht="16.2" x14ac:dyDescent="0.3">
      <c r="B29" t="s">
        <v>644</v>
      </c>
    </row>
    <row r="30" spans="2:8" ht="14.4" x14ac:dyDescent="0.3">
      <c r="B30" s="785" t="s">
        <v>765</v>
      </c>
      <c r="E30" s="81"/>
    </row>
    <row r="31" spans="2:8" ht="14.4" x14ac:dyDescent="0.3">
      <c r="E31" s="81"/>
    </row>
    <row r="32" spans="2:8" ht="14.4" x14ac:dyDescent="0.3">
      <c r="E32" s="81"/>
    </row>
    <row r="33" spans="5:5" ht="14.4" x14ac:dyDescent="0.3">
      <c r="E33" s="81"/>
    </row>
  </sheetData>
  <sheetProtection sheet="1" objects="1" scenarios="1"/>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38CAB-2059-4EFD-A20F-24B4FD6E81AC}">
  <sheetPr>
    <tabColor rgb="FF00B050"/>
  </sheetPr>
  <dimension ref="A2:G55"/>
  <sheetViews>
    <sheetView showGridLines="0" tabSelected="1" zoomScale="85" zoomScaleNormal="85" workbookViewId="0">
      <selection activeCell="O37" sqref="O37"/>
    </sheetView>
  </sheetViews>
  <sheetFormatPr defaultColWidth="9" defaultRowHeight="15" customHeight="1" x14ac:dyDescent="0.3"/>
  <cols>
    <col min="1" max="1" width="3.5546875" style="789" customWidth="1"/>
    <col min="2" max="2" width="31.88671875" style="789" customWidth="1"/>
    <col min="3" max="3" width="45.109375" style="789" customWidth="1"/>
    <col min="4" max="4" width="28.21875" style="789" customWidth="1"/>
    <col min="5" max="5" width="25.88671875" style="789" customWidth="1"/>
    <col min="6" max="7" width="20" style="789" customWidth="1"/>
    <col min="8" max="16384" width="9" style="789"/>
  </cols>
  <sheetData>
    <row r="2" spans="1:7" ht="12" customHeight="1" x14ac:dyDescent="0.6">
      <c r="A2" s="788"/>
    </row>
    <row r="3" spans="1:7" ht="31.2" x14ac:dyDescent="0.6">
      <c r="A3" s="788"/>
      <c r="B3" s="788" t="s">
        <v>464</v>
      </c>
    </row>
    <row r="5" spans="1:7" ht="21" x14ac:dyDescent="0.4">
      <c r="B5" s="790" t="s">
        <v>766</v>
      </c>
      <c r="C5" s="791"/>
      <c r="D5" s="791"/>
      <c r="E5" s="791"/>
      <c r="F5" s="791"/>
      <c r="G5" s="791"/>
    </row>
    <row r="7" spans="1:7" ht="15.6" x14ac:dyDescent="0.3">
      <c r="B7" s="792" t="s">
        <v>615</v>
      </c>
      <c r="C7" s="792" t="s">
        <v>648</v>
      </c>
      <c r="D7" s="792">
        <v>2025</v>
      </c>
      <c r="E7" s="792">
        <v>2024</v>
      </c>
      <c r="F7" s="792" t="s">
        <v>616</v>
      </c>
      <c r="G7" s="792" t="s">
        <v>767</v>
      </c>
    </row>
    <row r="8" spans="1:7" ht="16.2" x14ac:dyDescent="0.3">
      <c r="B8" s="789" t="s">
        <v>768</v>
      </c>
      <c r="C8" s="789" t="s">
        <v>769</v>
      </c>
      <c r="D8" s="793">
        <f>'S&amp;G 2025'!C18</f>
        <v>0.38709677419354838</v>
      </c>
      <c r="E8" s="793">
        <v>0.34375</v>
      </c>
      <c r="F8" s="794">
        <f>(D8-E8)/E8</f>
        <v>0.12609970674486801</v>
      </c>
      <c r="G8" s="789" t="s">
        <v>770</v>
      </c>
    </row>
    <row r="9" spans="1:7" ht="14.4" x14ac:dyDescent="0.3">
      <c r="C9" s="789" t="s">
        <v>771</v>
      </c>
      <c r="D9" s="793">
        <f>'S&amp;G 2025'!C15</f>
        <v>0.33333333333333331</v>
      </c>
      <c r="E9" s="793">
        <v>0.25</v>
      </c>
      <c r="F9" s="794">
        <f t="shared" ref="F9:F51" si="0">(D9-E9)/E9</f>
        <v>0.33333333333333326</v>
      </c>
      <c r="G9" s="789" t="s">
        <v>770</v>
      </c>
    </row>
    <row r="10" spans="1:7" ht="16.2" x14ac:dyDescent="0.3">
      <c r="B10" s="789" t="s">
        <v>772</v>
      </c>
      <c r="C10" s="789" t="s">
        <v>403</v>
      </c>
      <c r="D10" s="793">
        <f>'S&amp;G 2025'!H74</f>
        <v>1.5201407899882673</v>
      </c>
      <c r="E10" s="793">
        <v>1.5594772429726607</v>
      </c>
      <c r="F10" s="794">
        <f t="shared" si="0"/>
        <v>-2.5224127611769821E-2</v>
      </c>
      <c r="G10" s="789" t="s">
        <v>770</v>
      </c>
    </row>
    <row r="11" spans="1:7" ht="14.4" x14ac:dyDescent="0.3">
      <c r="B11" s="795" t="s">
        <v>773</v>
      </c>
      <c r="C11" s="789" t="s">
        <v>774</v>
      </c>
      <c r="D11" s="793">
        <f>'S&amp;G 2025'!K8</f>
        <v>0.06</v>
      </c>
      <c r="E11" s="793">
        <v>3.125E-2</v>
      </c>
      <c r="F11" s="794">
        <f t="shared" ref="F11:F27" si="1">(D11-E11)/E11</f>
        <v>0.91999999999999993</v>
      </c>
      <c r="G11" s="789" t="s">
        <v>770</v>
      </c>
    </row>
    <row r="12" spans="1:7" ht="14.4" x14ac:dyDescent="0.3">
      <c r="C12" s="789" t="s">
        <v>775</v>
      </c>
      <c r="D12" s="789">
        <f>'S&amp;G 2025'!J29</f>
        <v>1</v>
      </c>
      <c r="E12" s="789">
        <v>0</v>
      </c>
      <c r="F12" s="794">
        <v>1</v>
      </c>
      <c r="G12" s="789" t="s">
        <v>770</v>
      </c>
    </row>
    <row r="13" spans="1:7" ht="14.4" x14ac:dyDescent="0.3">
      <c r="C13" s="789" t="s">
        <v>776</v>
      </c>
      <c r="D13" s="789">
        <f>'S&amp;G 2025'!K29</f>
        <v>1</v>
      </c>
      <c r="E13" s="789">
        <v>1</v>
      </c>
      <c r="F13" s="794">
        <f t="shared" si="1"/>
        <v>0</v>
      </c>
      <c r="G13" s="789" t="s">
        <v>770</v>
      </c>
    </row>
    <row r="14" spans="1:7" ht="14.4" x14ac:dyDescent="0.3">
      <c r="C14" s="789" t="s">
        <v>777</v>
      </c>
      <c r="D14" s="793">
        <f>'S&amp;G 2025'!O8</f>
        <v>0</v>
      </c>
      <c r="E14" s="793">
        <v>0</v>
      </c>
      <c r="F14" s="794">
        <v>0</v>
      </c>
      <c r="G14" s="789" t="s">
        <v>770</v>
      </c>
    </row>
    <row r="15" spans="1:7" ht="14.4" x14ac:dyDescent="0.3">
      <c r="C15" s="789" t="s">
        <v>778</v>
      </c>
      <c r="D15" s="789">
        <f>'S&amp;G 2025'!L29</f>
        <v>0</v>
      </c>
      <c r="E15" s="789">
        <v>0</v>
      </c>
      <c r="F15" s="794" t="s">
        <v>414</v>
      </c>
      <c r="G15" s="789" t="s">
        <v>770</v>
      </c>
    </row>
    <row r="16" spans="1:7" ht="14.4" x14ac:dyDescent="0.3">
      <c r="C16" s="789" t="s">
        <v>779</v>
      </c>
      <c r="D16" s="789">
        <f>'S&amp;G 2025'!M29</f>
        <v>0</v>
      </c>
      <c r="E16" s="789">
        <v>0</v>
      </c>
      <c r="F16" s="794" t="s">
        <v>414</v>
      </c>
      <c r="G16" s="789" t="s">
        <v>770</v>
      </c>
    </row>
    <row r="17" spans="2:7" ht="14.4" x14ac:dyDescent="0.3">
      <c r="C17" s="789" t="s">
        <v>780</v>
      </c>
      <c r="D17" s="793">
        <f>SUM('S&amp;G 2025'!K9:K10)</f>
        <v>0.62</v>
      </c>
      <c r="E17" s="793">
        <v>0.65625</v>
      </c>
      <c r="F17" s="794">
        <f t="shared" si="1"/>
        <v>-5.5238095238095246E-2</v>
      </c>
      <c r="G17" s="789" t="s">
        <v>770</v>
      </c>
    </row>
    <row r="18" spans="2:7" ht="14.4" x14ac:dyDescent="0.3">
      <c r="C18" s="789" t="s">
        <v>781</v>
      </c>
      <c r="D18" s="789">
        <f>'S&amp;G 2025'!J30</f>
        <v>13</v>
      </c>
      <c r="E18" s="789">
        <v>16</v>
      </c>
      <c r="F18" s="794">
        <f t="shared" si="1"/>
        <v>-0.1875</v>
      </c>
      <c r="G18" s="789" t="s">
        <v>770</v>
      </c>
    </row>
    <row r="19" spans="2:7" ht="14.4" x14ac:dyDescent="0.3">
      <c r="C19" s="789" t="s">
        <v>782</v>
      </c>
      <c r="D19" s="789">
        <f>'S&amp;G 2025'!K30</f>
        <v>7</v>
      </c>
      <c r="E19" s="789">
        <v>5</v>
      </c>
      <c r="F19" s="794">
        <f t="shared" si="1"/>
        <v>0.4</v>
      </c>
      <c r="G19" s="789" t="s">
        <v>770</v>
      </c>
    </row>
    <row r="20" spans="2:7" ht="14.4" x14ac:dyDescent="0.3">
      <c r="C20" s="789" t="s">
        <v>783</v>
      </c>
      <c r="D20" s="793">
        <f>'S&amp;G 2025'!O10</f>
        <v>0.67</v>
      </c>
      <c r="E20" s="793">
        <v>0.875</v>
      </c>
      <c r="F20" s="794">
        <f t="shared" si="1"/>
        <v>-0.23428571428571424</v>
      </c>
      <c r="G20" s="789" t="s">
        <v>770</v>
      </c>
    </row>
    <row r="21" spans="2:7" ht="14.4" x14ac:dyDescent="0.3">
      <c r="C21" s="789" t="s">
        <v>784</v>
      </c>
      <c r="D21" s="789">
        <f>'S&amp;G 2025'!L30</f>
        <v>4</v>
      </c>
      <c r="E21" s="789">
        <v>5</v>
      </c>
      <c r="F21" s="794">
        <f t="shared" si="1"/>
        <v>-0.2</v>
      </c>
      <c r="G21" s="789" t="s">
        <v>770</v>
      </c>
    </row>
    <row r="22" spans="2:7" ht="14.4" x14ac:dyDescent="0.3">
      <c r="C22" s="789" t="s">
        <v>785</v>
      </c>
      <c r="D22" s="789">
        <f>'S&amp;G 2025'!M30</f>
        <v>2</v>
      </c>
      <c r="E22" s="789">
        <v>2</v>
      </c>
      <c r="F22" s="794">
        <f t="shared" si="1"/>
        <v>0</v>
      </c>
      <c r="G22" s="789" t="s">
        <v>770</v>
      </c>
    </row>
    <row r="23" spans="2:7" ht="14.4" x14ac:dyDescent="0.3">
      <c r="C23" s="789" t="s">
        <v>786</v>
      </c>
      <c r="D23" s="793">
        <f>'S&amp;G 2025'!K11 + 'S&amp;G 2025'!K12</f>
        <v>0.32</v>
      </c>
      <c r="E23" s="793">
        <v>0.3125</v>
      </c>
      <c r="F23" s="794">
        <f t="shared" si="1"/>
        <v>2.4000000000000021E-2</v>
      </c>
      <c r="G23" s="789" t="s">
        <v>770</v>
      </c>
    </row>
    <row r="24" spans="2:7" ht="14.4" x14ac:dyDescent="0.3">
      <c r="C24" s="789" t="s">
        <v>787</v>
      </c>
      <c r="D24" s="789">
        <f>'S&amp;G 2025'!J31</f>
        <v>5</v>
      </c>
      <c r="E24" s="789">
        <v>5</v>
      </c>
      <c r="F24" s="794">
        <f t="shared" si="1"/>
        <v>0</v>
      </c>
      <c r="G24" s="789" t="s">
        <v>770</v>
      </c>
    </row>
    <row r="25" spans="2:7" ht="14.4" x14ac:dyDescent="0.3">
      <c r="C25" s="789" t="s">
        <v>788</v>
      </c>
      <c r="D25" s="789">
        <f>'S&amp;G 2025'!K31</f>
        <v>4</v>
      </c>
      <c r="E25" s="789">
        <v>5</v>
      </c>
      <c r="F25" s="794">
        <f t="shared" si="1"/>
        <v>-0.2</v>
      </c>
      <c r="G25" s="789" t="s">
        <v>770</v>
      </c>
    </row>
    <row r="26" spans="2:7" ht="14.4" x14ac:dyDescent="0.3">
      <c r="C26" s="789" t="s">
        <v>789</v>
      </c>
      <c r="D26" s="793">
        <f>'S&amp;G 2025'!O11</f>
        <v>0.33</v>
      </c>
      <c r="E26" s="793">
        <v>0.125</v>
      </c>
      <c r="F26" s="794">
        <f t="shared" si="1"/>
        <v>1.6400000000000001</v>
      </c>
      <c r="G26" s="789" t="s">
        <v>770</v>
      </c>
    </row>
    <row r="27" spans="2:7" ht="14.4" x14ac:dyDescent="0.3">
      <c r="C27" s="789" t="s">
        <v>790</v>
      </c>
      <c r="D27" s="789">
        <f>'S&amp;G 2025'!L31</f>
        <v>2</v>
      </c>
      <c r="E27" s="789">
        <v>1</v>
      </c>
      <c r="F27" s="794">
        <f t="shared" si="1"/>
        <v>1</v>
      </c>
      <c r="G27" s="789" t="s">
        <v>770</v>
      </c>
    </row>
    <row r="28" spans="2:7" ht="14.4" x14ac:dyDescent="0.3">
      <c r="C28" s="789" t="s">
        <v>791</v>
      </c>
      <c r="D28" s="789">
        <f>'S&amp;G 2025'!M31</f>
        <v>0</v>
      </c>
      <c r="E28" s="789">
        <v>0</v>
      </c>
      <c r="F28" s="794" t="s">
        <v>414</v>
      </c>
      <c r="G28" s="789" t="s">
        <v>770</v>
      </c>
    </row>
    <row r="29" spans="2:7" ht="16.2" x14ac:dyDescent="0.3">
      <c r="B29" s="789" t="s">
        <v>792</v>
      </c>
      <c r="C29" s="789" t="s">
        <v>793</v>
      </c>
      <c r="D29" s="796">
        <f>'S&amp;G 2025'!D125</f>
        <v>27.70967741935484</v>
      </c>
      <c r="E29" s="796">
        <v>23.296875</v>
      </c>
      <c r="F29" s="794">
        <f t="shared" si="0"/>
        <v>0.18941606629021446</v>
      </c>
      <c r="G29" s="789" t="s">
        <v>770</v>
      </c>
    </row>
    <row r="30" spans="2:7" ht="16.2" x14ac:dyDescent="0.3">
      <c r="B30" s="789" t="s">
        <v>794</v>
      </c>
      <c r="C30" s="789" t="s">
        <v>793</v>
      </c>
      <c r="D30" s="789">
        <f>'S&amp;G 2025'!F210</f>
        <v>3.26</v>
      </c>
      <c r="E30" s="789">
        <v>1.375</v>
      </c>
      <c r="F30" s="794">
        <f t="shared" si="0"/>
        <v>1.3709090909090909</v>
      </c>
      <c r="G30" s="789" t="s">
        <v>770</v>
      </c>
    </row>
    <row r="31" spans="2:7" ht="16.2" x14ac:dyDescent="0.3">
      <c r="B31" s="789" t="s">
        <v>795</v>
      </c>
      <c r="C31" s="789" t="s">
        <v>402</v>
      </c>
      <c r="D31" s="793">
        <f>'S&amp;G 2025'!I38</f>
        <v>0.81</v>
      </c>
      <c r="E31" s="793">
        <v>0.88</v>
      </c>
      <c r="F31" s="794">
        <f t="shared" si="0"/>
        <v>-7.9545454545454489E-2</v>
      </c>
      <c r="G31" s="789" t="s">
        <v>770</v>
      </c>
    </row>
    <row r="32" spans="2:7" ht="16.2" x14ac:dyDescent="0.3">
      <c r="B32" s="789" t="s">
        <v>796</v>
      </c>
      <c r="C32" s="789" t="s">
        <v>797</v>
      </c>
      <c r="D32" s="789" t="s">
        <v>798</v>
      </c>
      <c r="E32" s="789" t="s">
        <v>799</v>
      </c>
      <c r="F32" s="794"/>
      <c r="G32" s="789" t="s">
        <v>770</v>
      </c>
    </row>
    <row r="33" spans="2:7" ht="14.4" x14ac:dyDescent="0.3">
      <c r="C33" s="789" t="s">
        <v>409</v>
      </c>
      <c r="D33" s="793">
        <f>'S&amp;G 2025'!G6</f>
        <v>0.12903225806451613</v>
      </c>
      <c r="E33" s="793">
        <v>0.21875</v>
      </c>
      <c r="F33" s="794">
        <f t="shared" si="0"/>
        <v>-0.41013824884792627</v>
      </c>
      <c r="G33" s="789" t="s">
        <v>770</v>
      </c>
    </row>
    <row r="34" spans="2:7" ht="16.2" x14ac:dyDescent="0.3">
      <c r="B34" s="789" t="s">
        <v>800</v>
      </c>
      <c r="C34" s="789" t="s">
        <v>797</v>
      </c>
      <c r="D34" s="789" t="s">
        <v>801</v>
      </c>
      <c r="E34" s="789" t="s">
        <v>802</v>
      </c>
      <c r="F34" s="794"/>
      <c r="G34" s="789" t="s">
        <v>770</v>
      </c>
    </row>
    <row r="35" spans="2:7" ht="14.4" x14ac:dyDescent="0.3">
      <c r="C35" s="789" t="s">
        <v>409</v>
      </c>
      <c r="D35" s="793">
        <f>'S&amp;G 2025'!G8</f>
        <v>0.16129032258064516</v>
      </c>
      <c r="E35" s="793">
        <v>0.1875</v>
      </c>
      <c r="F35" s="794">
        <f t="shared" si="0"/>
        <v>-0.13978494623655915</v>
      </c>
      <c r="G35" s="789" t="s">
        <v>770</v>
      </c>
    </row>
    <row r="36" spans="2:7" ht="14.4" x14ac:dyDescent="0.3">
      <c r="B36" s="789" t="s">
        <v>803</v>
      </c>
      <c r="C36" s="789" t="s">
        <v>804</v>
      </c>
      <c r="D36" s="789">
        <v>0</v>
      </c>
      <c r="E36" s="789">
        <v>0</v>
      </c>
      <c r="F36" s="794">
        <v>0</v>
      </c>
      <c r="G36" s="789" t="s">
        <v>770</v>
      </c>
    </row>
    <row r="37" spans="2:7" ht="14.4" x14ac:dyDescent="0.3">
      <c r="B37" s="789" t="s">
        <v>805</v>
      </c>
      <c r="C37" s="789" t="s">
        <v>804</v>
      </c>
      <c r="D37" s="789">
        <v>0</v>
      </c>
      <c r="E37" s="789">
        <v>0</v>
      </c>
      <c r="F37" s="794"/>
      <c r="G37" s="789" t="s">
        <v>770</v>
      </c>
    </row>
    <row r="38" spans="2:7" ht="14.4" x14ac:dyDescent="0.3">
      <c r="B38" s="789" t="s">
        <v>171</v>
      </c>
      <c r="C38" s="789" t="s">
        <v>806</v>
      </c>
      <c r="D38" s="797">
        <v>5.5989999999999998E-3</v>
      </c>
      <c r="E38" s="797">
        <v>3.3052884615384602E-3</v>
      </c>
      <c r="F38" s="794">
        <f t="shared" si="0"/>
        <v>0.69395200000000068</v>
      </c>
      <c r="G38" s="789" t="s">
        <v>770</v>
      </c>
    </row>
    <row r="39" spans="2:7" ht="14.4" x14ac:dyDescent="0.3">
      <c r="B39" s="789" t="s">
        <v>807</v>
      </c>
      <c r="C39" s="789" t="s">
        <v>797</v>
      </c>
      <c r="D39" s="789">
        <v>0</v>
      </c>
      <c r="E39" s="789">
        <v>0</v>
      </c>
      <c r="F39" s="794">
        <v>0</v>
      </c>
      <c r="G39" s="789" t="s">
        <v>770</v>
      </c>
    </row>
    <row r="40" spans="2:7" ht="14.4" x14ac:dyDescent="0.3">
      <c r="B40" s="789" t="s">
        <v>808</v>
      </c>
      <c r="C40" s="789" t="s">
        <v>809</v>
      </c>
      <c r="D40" s="798">
        <v>1</v>
      </c>
      <c r="E40" s="793">
        <v>1</v>
      </c>
      <c r="F40" s="794">
        <f t="shared" si="0"/>
        <v>0</v>
      </c>
      <c r="G40" s="789" t="s">
        <v>810</v>
      </c>
    </row>
    <row r="41" spans="2:7" ht="14.4" x14ac:dyDescent="0.3">
      <c r="D41" s="798">
        <v>1</v>
      </c>
      <c r="E41" s="793">
        <v>1</v>
      </c>
      <c r="F41" s="794">
        <f t="shared" si="0"/>
        <v>0</v>
      </c>
      <c r="G41" s="789" t="s">
        <v>811</v>
      </c>
    </row>
    <row r="42" spans="2:7" ht="14.4" x14ac:dyDescent="0.3">
      <c r="B42" s="789" t="s">
        <v>812</v>
      </c>
      <c r="C42" s="789" t="s">
        <v>797</v>
      </c>
      <c r="D42" s="789" t="s">
        <v>813</v>
      </c>
      <c r="E42" s="789" t="s">
        <v>813</v>
      </c>
      <c r="F42" s="794"/>
      <c r="G42" s="789" t="s">
        <v>725</v>
      </c>
    </row>
    <row r="43" spans="2:7" ht="14.4" x14ac:dyDescent="0.3">
      <c r="D43" s="789" t="s">
        <v>813</v>
      </c>
      <c r="E43" s="789" t="s">
        <v>813</v>
      </c>
      <c r="F43" s="794"/>
      <c r="G43" s="789" t="s">
        <v>814</v>
      </c>
    </row>
    <row r="44" spans="2:7" ht="16.2" x14ac:dyDescent="0.3">
      <c r="B44" s="789" t="s">
        <v>815</v>
      </c>
      <c r="C44" s="789" t="s">
        <v>816</v>
      </c>
      <c r="D44" s="789">
        <f>'List of H&amp;W initiatives 2025'!B18</f>
        <v>12</v>
      </c>
      <c r="E44" s="789">
        <v>10</v>
      </c>
      <c r="F44" s="794">
        <f t="shared" si="0"/>
        <v>0.2</v>
      </c>
      <c r="G44" s="789" t="s">
        <v>770</v>
      </c>
    </row>
    <row r="45" spans="2:7" ht="16.2" x14ac:dyDescent="0.3">
      <c r="B45" s="789" t="s">
        <v>817</v>
      </c>
      <c r="C45" s="789" t="s">
        <v>797</v>
      </c>
      <c r="D45" s="789" t="s">
        <v>813</v>
      </c>
      <c r="E45" s="789" t="s">
        <v>813</v>
      </c>
      <c r="F45" s="794"/>
      <c r="G45" s="789" t="s">
        <v>770</v>
      </c>
    </row>
    <row r="46" spans="2:7" ht="16.2" x14ac:dyDescent="0.3">
      <c r="B46" s="789" t="s">
        <v>818</v>
      </c>
      <c r="C46" s="789" t="s">
        <v>793</v>
      </c>
      <c r="D46" s="824">
        <f>'S&amp;G 2025'!F243</f>
        <v>0.41935483870967744</v>
      </c>
      <c r="E46" s="824">
        <v>0.65625</v>
      </c>
      <c r="F46" s="794">
        <f t="shared" si="0"/>
        <v>-0.36098310291858676</v>
      </c>
      <c r="G46" s="789" t="s">
        <v>770</v>
      </c>
    </row>
    <row r="47" spans="2:7" ht="16.2" x14ac:dyDescent="0.3">
      <c r="B47" s="789" t="s">
        <v>819</v>
      </c>
      <c r="C47" s="789" t="s">
        <v>793</v>
      </c>
      <c r="D47" s="824">
        <f>'S&amp;G 2025'!F268</f>
        <v>0.64516129032258063</v>
      </c>
      <c r="E47" s="824">
        <v>0.71875</v>
      </c>
      <c r="F47" s="794">
        <f t="shared" si="0"/>
        <v>-0.10238429172510521</v>
      </c>
      <c r="G47" s="789" t="s">
        <v>770</v>
      </c>
    </row>
    <row r="48" spans="2:7" ht="16.2" x14ac:dyDescent="0.3">
      <c r="B48" s="789" t="s">
        <v>820</v>
      </c>
      <c r="C48" s="789" t="s">
        <v>809</v>
      </c>
      <c r="D48" s="793">
        <f>'2025 Asset list '!W22</f>
        <v>0.7142857142857143</v>
      </c>
      <c r="E48" s="793">
        <v>0.7142857142857143</v>
      </c>
      <c r="F48" s="794">
        <f t="shared" si="0"/>
        <v>0</v>
      </c>
      <c r="G48" s="789" t="s">
        <v>725</v>
      </c>
    </row>
    <row r="49" spans="2:7" ht="16.2" x14ac:dyDescent="0.3">
      <c r="B49" s="789" t="s">
        <v>821</v>
      </c>
      <c r="C49" s="789" t="s">
        <v>822</v>
      </c>
      <c r="D49" s="789">
        <f>'S&amp;G 2025'!I19</f>
        <v>67.5</v>
      </c>
      <c r="E49" s="789">
        <v>33.5</v>
      </c>
      <c r="F49" s="794">
        <f t="shared" si="0"/>
        <v>1.0149253731343284</v>
      </c>
      <c r="G49" s="789" t="s">
        <v>770</v>
      </c>
    </row>
    <row r="50" spans="2:7" ht="14.4" x14ac:dyDescent="0.3">
      <c r="B50" s="789" t="s">
        <v>181</v>
      </c>
      <c r="C50" s="789" t="s">
        <v>823</v>
      </c>
      <c r="D50" s="789">
        <v>86</v>
      </c>
      <c r="E50" s="789">
        <v>88</v>
      </c>
      <c r="F50" s="794">
        <f t="shared" si="0"/>
        <v>-2.2727272727272728E-2</v>
      </c>
      <c r="G50" s="789" t="s">
        <v>725</v>
      </c>
    </row>
    <row r="51" spans="2:7" ht="16.2" x14ac:dyDescent="0.3">
      <c r="B51" s="789" t="s">
        <v>824</v>
      </c>
      <c r="C51" s="789" t="s">
        <v>825</v>
      </c>
      <c r="D51" s="793">
        <f>'S&amp;G 2025'!D281</f>
        <v>0.44</v>
      </c>
      <c r="E51" s="793">
        <v>0.4</v>
      </c>
      <c r="F51" s="794">
        <f t="shared" si="0"/>
        <v>9.999999999999995E-2</v>
      </c>
      <c r="G51" s="789" t="s">
        <v>770</v>
      </c>
    </row>
    <row r="52" spans="2:7" ht="14.4" x14ac:dyDescent="0.3">
      <c r="B52" s="799"/>
      <c r="C52" s="799"/>
      <c r="D52" s="799"/>
      <c r="E52" s="799"/>
      <c r="F52" s="799"/>
      <c r="G52" s="799"/>
    </row>
    <row r="53" spans="2:7" ht="14.4" x14ac:dyDescent="0.3">
      <c r="B53" s="800"/>
    </row>
    <row r="54" spans="2:7" ht="16.2" x14ac:dyDescent="0.3">
      <c r="B54" s="789" t="s">
        <v>644</v>
      </c>
    </row>
    <row r="55" spans="2:7" ht="14.4" x14ac:dyDescent="0.3">
      <c r="B55" s="801"/>
    </row>
  </sheetData>
  <sheetProtection sheet="1" objects="1" scenarios="1"/>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AF63-1252-4068-8EB8-EA123C21C140}">
  <dimension ref="B2:K25"/>
  <sheetViews>
    <sheetView workbookViewId="0">
      <selection activeCell="B3" sqref="B3"/>
    </sheetView>
  </sheetViews>
  <sheetFormatPr defaultRowHeight="14.4" x14ac:dyDescent="0.3"/>
  <cols>
    <col min="2" max="2" width="22.5546875" customWidth="1"/>
    <col min="3" max="4" width="17.5546875" customWidth="1"/>
    <col min="5" max="5" width="17" customWidth="1"/>
    <col min="6" max="6" width="25.88671875" customWidth="1"/>
  </cols>
  <sheetData>
    <row r="2" spans="2:6" ht="43.2" x14ac:dyDescent="0.3">
      <c r="C2" s="190" t="s">
        <v>826</v>
      </c>
      <c r="D2" s="190">
        <v>9.2899999999999996E-2</v>
      </c>
      <c r="E2" s="68" t="s">
        <v>827</v>
      </c>
      <c r="F2" s="190" t="s">
        <v>828</v>
      </c>
    </row>
    <row r="3" spans="2:6" x14ac:dyDescent="0.3">
      <c r="B3" s="68" t="s">
        <v>829</v>
      </c>
      <c r="C3" s="68" t="s">
        <v>830</v>
      </c>
      <c r="D3" s="68" t="s">
        <v>831</v>
      </c>
      <c r="E3" s="68" t="s">
        <v>832</v>
      </c>
      <c r="F3" s="68" t="s">
        <v>833</v>
      </c>
    </row>
    <row r="4" spans="2:6" x14ac:dyDescent="0.3">
      <c r="B4" t="s">
        <v>460</v>
      </c>
      <c r="C4" s="248">
        <v>59861</v>
      </c>
      <c r="D4">
        <v>5561.0869000000002</v>
      </c>
      <c r="E4">
        <f>(D4/0.8) * (0.2)</f>
        <v>1390.2717250000001</v>
      </c>
      <c r="F4" s="72">
        <v>0.2</v>
      </c>
    </row>
    <row r="5" spans="2:6" x14ac:dyDescent="0.3">
      <c r="B5" t="s">
        <v>834</v>
      </c>
      <c r="C5" s="248">
        <v>127615</v>
      </c>
      <c r="D5">
        <v>11855.433499999999</v>
      </c>
      <c r="E5">
        <f>(D5/0.8) * (0.2)</f>
        <v>2963.8583749999998</v>
      </c>
      <c r="F5" s="72">
        <v>0.2</v>
      </c>
    </row>
    <row r="6" spans="2:6" x14ac:dyDescent="0.3">
      <c r="B6" t="s">
        <v>461</v>
      </c>
      <c r="C6" s="248">
        <v>43578</v>
      </c>
      <c r="D6">
        <v>4048.3961999999997</v>
      </c>
      <c r="E6">
        <f>(D6/0.8) * (0.2)</f>
        <v>1012.0990499999998</v>
      </c>
      <c r="F6" s="72">
        <v>0.2</v>
      </c>
    </row>
    <row r="7" spans="2:6" x14ac:dyDescent="0.3">
      <c r="B7" t="s">
        <v>462</v>
      </c>
      <c r="C7" s="248">
        <v>44765</v>
      </c>
      <c r="D7">
        <v>4158.6684999999998</v>
      </c>
      <c r="E7">
        <f>(D7/0.8) * (0.2)</f>
        <v>1039.6671249999999</v>
      </c>
      <c r="F7" s="72">
        <v>0.2</v>
      </c>
    </row>
    <row r="8" spans="2:6" x14ac:dyDescent="0.3">
      <c r="B8" t="s">
        <v>835</v>
      </c>
      <c r="C8" s="248">
        <v>22212</v>
      </c>
      <c r="D8">
        <v>2063.4947999999999</v>
      </c>
      <c r="E8">
        <f>(D8/0.8) * (0.2)</f>
        <v>515.87369999999999</v>
      </c>
      <c r="F8" s="72">
        <v>0.2</v>
      </c>
    </row>
    <row r="9" spans="2:6" x14ac:dyDescent="0.3">
      <c r="B9" t="s">
        <v>497</v>
      </c>
      <c r="C9" s="248">
        <v>136728</v>
      </c>
      <c r="D9">
        <v>12702.031199999999</v>
      </c>
      <c r="E9">
        <f>(D9/0.7) * (0.3)</f>
        <v>5443.7276571428565</v>
      </c>
      <c r="F9" s="72">
        <v>0.3</v>
      </c>
    </row>
    <row r="10" spans="2:6" x14ac:dyDescent="0.3">
      <c r="B10" t="s">
        <v>499</v>
      </c>
      <c r="C10" s="248">
        <v>74970</v>
      </c>
      <c r="D10">
        <v>6964.7129999999997</v>
      </c>
      <c r="E10">
        <f t="shared" ref="E10:E24" si="0">(D10/0.8) * (0.2)</f>
        <v>1741.1782499999999</v>
      </c>
      <c r="F10" s="72">
        <v>0.2</v>
      </c>
    </row>
    <row r="11" spans="2:6" x14ac:dyDescent="0.3">
      <c r="B11" t="s">
        <v>459</v>
      </c>
      <c r="C11" s="248">
        <v>86757</v>
      </c>
      <c r="D11">
        <v>8059.7253000000001</v>
      </c>
      <c r="E11">
        <f t="shared" si="0"/>
        <v>2014.931325</v>
      </c>
      <c r="F11" s="72">
        <v>0.2</v>
      </c>
    </row>
    <row r="12" spans="2:6" x14ac:dyDescent="0.3">
      <c r="B12" t="s">
        <v>514</v>
      </c>
      <c r="C12" s="248">
        <v>9341</v>
      </c>
      <c r="D12">
        <v>867.77890000000002</v>
      </c>
      <c r="E12">
        <f t="shared" si="0"/>
        <v>216.94472499999998</v>
      </c>
      <c r="F12" s="72">
        <v>0.2</v>
      </c>
    </row>
    <row r="13" spans="2:6" x14ac:dyDescent="0.3">
      <c r="B13" t="s">
        <v>456</v>
      </c>
      <c r="C13" s="248">
        <v>67737</v>
      </c>
      <c r="D13">
        <v>6292.7672999999995</v>
      </c>
      <c r="E13">
        <f t="shared" si="0"/>
        <v>1573.1918249999999</v>
      </c>
      <c r="F13" s="72">
        <v>0.2</v>
      </c>
    </row>
    <row r="14" spans="2:6" x14ac:dyDescent="0.3">
      <c r="B14" t="s">
        <v>836</v>
      </c>
      <c r="C14" s="248">
        <v>14316</v>
      </c>
      <c r="D14">
        <v>1329.9564</v>
      </c>
      <c r="E14">
        <f t="shared" si="0"/>
        <v>332.48910000000001</v>
      </c>
      <c r="F14" s="72">
        <v>0.2</v>
      </c>
    </row>
    <row r="15" spans="2:6" x14ac:dyDescent="0.3">
      <c r="B15" t="s">
        <v>837</v>
      </c>
      <c r="C15" s="248">
        <v>183169</v>
      </c>
      <c r="D15">
        <v>17016.400099999999</v>
      </c>
      <c r="E15">
        <f t="shared" si="0"/>
        <v>4254.1000249999997</v>
      </c>
      <c r="F15" s="72">
        <v>0.2</v>
      </c>
    </row>
    <row r="16" spans="2:6" x14ac:dyDescent="0.3">
      <c r="B16" s="105" t="s">
        <v>838</v>
      </c>
      <c r="C16" s="249">
        <v>177940</v>
      </c>
      <c r="D16" s="105">
        <v>16530.626</v>
      </c>
      <c r="E16" s="105"/>
      <c r="F16" s="72">
        <v>0.2</v>
      </c>
    </row>
    <row r="17" spans="2:11" x14ac:dyDescent="0.3">
      <c r="B17" t="s">
        <v>839</v>
      </c>
      <c r="C17" s="248">
        <v>11312</v>
      </c>
      <c r="D17">
        <v>1050.8848</v>
      </c>
      <c r="E17">
        <f t="shared" si="0"/>
        <v>262.72120000000001</v>
      </c>
      <c r="F17" s="72">
        <v>0.2</v>
      </c>
    </row>
    <row r="18" spans="2:11" x14ac:dyDescent="0.3">
      <c r="B18" t="s">
        <v>840</v>
      </c>
      <c r="C18" s="248">
        <v>6096</v>
      </c>
      <c r="D18">
        <v>566.3184</v>
      </c>
      <c r="F18" s="72">
        <v>0.2</v>
      </c>
    </row>
    <row r="19" spans="2:11" x14ac:dyDescent="0.3">
      <c r="B19" t="s">
        <v>841</v>
      </c>
      <c r="C19" s="248">
        <v>118367</v>
      </c>
      <c r="D19">
        <v>10996.2943</v>
      </c>
      <c r="E19">
        <f t="shared" si="0"/>
        <v>2749.0735749999999</v>
      </c>
      <c r="F19" s="72">
        <v>0.2</v>
      </c>
    </row>
    <row r="20" spans="2:11" x14ac:dyDescent="0.3">
      <c r="B20" t="s">
        <v>517</v>
      </c>
      <c r="C20" s="248">
        <v>14725</v>
      </c>
      <c r="D20">
        <v>1367.9524999999999</v>
      </c>
      <c r="F20" s="72">
        <v>0.2</v>
      </c>
    </row>
    <row r="21" spans="2:11" x14ac:dyDescent="0.3">
      <c r="B21" t="s">
        <v>463</v>
      </c>
      <c r="C21" s="248">
        <v>4382</v>
      </c>
      <c r="D21">
        <v>407.08779999999996</v>
      </c>
      <c r="E21">
        <f t="shared" si="0"/>
        <v>101.77194999999999</v>
      </c>
      <c r="F21" s="72">
        <v>0.2</v>
      </c>
    </row>
    <row r="22" spans="2:11" x14ac:dyDescent="0.3">
      <c r="B22" t="s">
        <v>842</v>
      </c>
      <c r="C22" s="248">
        <v>57260</v>
      </c>
      <c r="D22">
        <v>5319.4539999999997</v>
      </c>
      <c r="E22">
        <f t="shared" si="0"/>
        <v>1329.8634999999999</v>
      </c>
      <c r="F22" s="72">
        <v>0.2</v>
      </c>
    </row>
    <row r="23" spans="2:11" x14ac:dyDescent="0.3">
      <c r="B23" t="s">
        <v>843</v>
      </c>
      <c r="C23" s="248">
        <v>27282</v>
      </c>
      <c r="D23">
        <v>2534.4978000000001</v>
      </c>
      <c r="E23">
        <f t="shared" si="0"/>
        <v>633.62445000000002</v>
      </c>
      <c r="F23" s="72">
        <v>0.2</v>
      </c>
    </row>
    <row r="24" spans="2:11" x14ac:dyDescent="0.3">
      <c r="B24" t="s">
        <v>844</v>
      </c>
      <c r="C24" s="248">
        <v>26621</v>
      </c>
      <c r="D24">
        <v>2473.0908999999997</v>
      </c>
      <c r="E24">
        <f t="shared" si="0"/>
        <v>618.27272499999992</v>
      </c>
      <c r="F24" s="72">
        <v>0.2</v>
      </c>
    </row>
    <row r="25" spans="2:11" x14ac:dyDescent="0.3">
      <c r="K25">
        <v>133344</v>
      </c>
    </row>
  </sheetData>
  <autoFilter ref="B3:E24" xr:uid="{D44CAF63-1252-4068-8EB8-EA123C21C140}"/>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468D5-A976-4C46-9618-C513918336FE}">
  <sheetPr codeName="Sheet19"/>
  <dimension ref="A1:V36"/>
  <sheetViews>
    <sheetView workbookViewId="0">
      <pane xSplit="2" ySplit="2" topLeftCell="C13" activePane="bottomRight" state="frozen"/>
      <selection pane="topRight" activeCell="C1" sqref="C1"/>
      <selection pane="bottomLeft" activeCell="A3" sqref="A3"/>
      <selection pane="bottomRight" activeCell="I29" sqref="I29"/>
    </sheetView>
  </sheetViews>
  <sheetFormatPr defaultRowHeight="15" customHeight="1" x14ac:dyDescent="0.3"/>
  <cols>
    <col min="1" max="1" width="11" customWidth="1"/>
    <col min="2" max="2" width="34.77734375" customWidth="1"/>
    <col min="3" max="3" width="11" customWidth="1"/>
    <col min="4" max="4" width="28.21875" customWidth="1"/>
    <col min="5" max="5" width="22.88671875" customWidth="1"/>
    <col min="6" max="6" width="19.21875" customWidth="1"/>
    <col min="7" max="8" width="10.21875" customWidth="1"/>
    <col min="9" max="9" width="11.88671875" bestFit="1" customWidth="1"/>
    <col min="10" max="11" width="11.5546875" customWidth="1"/>
    <col min="12" max="12" width="20" customWidth="1"/>
    <col min="13" max="13" width="19" customWidth="1"/>
    <col min="14" max="14" width="32.88671875" customWidth="1"/>
    <col min="15" max="15" width="32.5546875" customWidth="1"/>
    <col min="16" max="16" width="10.44140625" customWidth="1"/>
    <col min="17" max="17" width="27.109375" customWidth="1"/>
    <col min="18" max="18" width="23.5546875" customWidth="1"/>
    <col min="20" max="21" width="25" customWidth="1"/>
  </cols>
  <sheetData>
    <row r="1" spans="1:22" ht="34.5" customHeight="1" x14ac:dyDescent="0.3">
      <c r="J1" s="6" t="s">
        <v>826</v>
      </c>
      <c r="K1">
        <v>9.2899999999999996E-2</v>
      </c>
      <c r="L1">
        <f>I8/0.15</f>
        <v>3775.4560000000001</v>
      </c>
      <c r="N1" s="72">
        <f>5/12</f>
        <v>0.41666666666666669</v>
      </c>
    </row>
    <row r="2" spans="1:22" s="68" customFormat="1" ht="28.8" x14ac:dyDescent="0.3">
      <c r="A2" s="68" t="s">
        <v>324</v>
      </c>
      <c r="B2" s="68" t="s">
        <v>829</v>
      </c>
      <c r="C2" s="68" t="s">
        <v>845</v>
      </c>
      <c r="D2" s="68" t="s">
        <v>846</v>
      </c>
      <c r="E2" s="68" t="s">
        <v>847</v>
      </c>
      <c r="F2" s="68" t="s">
        <v>848</v>
      </c>
      <c r="G2" s="190" t="s">
        <v>849</v>
      </c>
      <c r="H2" s="190" t="s">
        <v>850</v>
      </c>
      <c r="I2" s="68" t="s">
        <v>851</v>
      </c>
      <c r="J2" s="68" t="s">
        <v>830</v>
      </c>
      <c r="K2" s="190" t="s">
        <v>831</v>
      </c>
      <c r="L2" s="68" t="s">
        <v>852</v>
      </c>
      <c r="M2" s="68" t="s">
        <v>853</v>
      </c>
      <c r="N2" s="68" t="s">
        <v>854</v>
      </c>
      <c r="O2" s="68" t="s">
        <v>855</v>
      </c>
      <c r="P2" s="68" t="s">
        <v>856</v>
      </c>
      <c r="Q2" s="68" t="s">
        <v>857</v>
      </c>
      <c r="R2" s="68" t="s">
        <v>858</v>
      </c>
      <c r="S2" s="68" t="s">
        <v>859</v>
      </c>
      <c r="T2" s="68" t="s">
        <v>860</v>
      </c>
      <c r="U2" s="68" t="s">
        <v>861</v>
      </c>
      <c r="V2" s="68" t="s">
        <v>862</v>
      </c>
    </row>
    <row r="3" spans="1:22" ht="14.4" x14ac:dyDescent="0.3">
      <c r="A3">
        <v>1</v>
      </c>
      <c r="B3" t="s">
        <v>834</v>
      </c>
      <c r="C3">
        <v>2</v>
      </c>
      <c r="D3" t="s">
        <v>863</v>
      </c>
      <c r="E3" t="s">
        <v>864</v>
      </c>
      <c r="F3" t="s">
        <v>865</v>
      </c>
      <c r="G3" s="206">
        <f>'Areas '!E5</f>
        <v>2963.8583749999998</v>
      </c>
      <c r="H3" s="206">
        <f>'Areas '!D5</f>
        <v>11855.433499999999</v>
      </c>
      <c r="I3" s="206">
        <f>TblAssets[[#This Row],[NIA m2]]+TblAssets[[#This Row],[Common Area m2]]</f>
        <v>14819.291874999999</v>
      </c>
      <c r="J3" s="247">
        <v>127615</v>
      </c>
      <c r="K3" s="247">
        <f>TblAssets[[#This Row],[NIA sq.ft ]]*$K$1</f>
        <v>11855.433499999999</v>
      </c>
      <c r="L3" s="88">
        <v>6880048</v>
      </c>
      <c r="M3">
        <v>98.2</v>
      </c>
      <c r="N3" t="s">
        <v>704</v>
      </c>
      <c r="O3" t="s">
        <v>705</v>
      </c>
      <c r="Q3" t="s">
        <v>866</v>
      </c>
      <c r="S3" t="s">
        <v>716</v>
      </c>
      <c r="T3" t="s">
        <v>867</v>
      </c>
      <c r="U3" t="s">
        <v>867</v>
      </c>
      <c r="V3" t="s">
        <v>867</v>
      </c>
    </row>
    <row r="4" spans="1:22" ht="14.4" x14ac:dyDescent="0.3">
      <c r="A4">
        <v>1</v>
      </c>
      <c r="B4" t="s">
        <v>497</v>
      </c>
      <c r="C4">
        <v>6</v>
      </c>
      <c r="D4" t="s">
        <v>868</v>
      </c>
      <c r="E4" t="s">
        <v>864</v>
      </c>
      <c r="F4" t="s">
        <v>865</v>
      </c>
      <c r="G4" s="206">
        <f>'Areas '!E9</f>
        <v>5443.7276571428565</v>
      </c>
      <c r="H4" s="206">
        <f>'Areas '!D9</f>
        <v>12702.031199999999</v>
      </c>
      <c r="I4" s="221">
        <f>TblAssets[[#This Row],[NIA m2]]+TblAssets[[#This Row],[Common Area m2]]</f>
        <v>18145.758857142857</v>
      </c>
      <c r="J4" s="247">
        <v>136728</v>
      </c>
      <c r="K4" s="247">
        <f>TblAssets[[#This Row],[NIA sq.ft ]]*$K$1</f>
        <v>12702.031199999999</v>
      </c>
      <c r="L4" s="88">
        <v>7483091</v>
      </c>
      <c r="M4">
        <v>127.8</v>
      </c>
      <c r="N4" t="s">
        <v>705</v>
      </c>
      <c r="O4" t="s">
        <v>705</v>
      </c>
      <c r="Q4" t="s">
        <v>866</v>
      </c>
      <c r="S4" t="s">
        <v>715</v>
      </c>
      <c r="T4" t="s">
        <v>867</v>
      </c>
      <c r="U4" t="s">
        <v>867</v>
      </c>
      <c r="V4" t="s">
        <v>867</v>
      </c>
    </row>
    <row r="5" spans="1:22" ht="14.4" x14ac:dyDescent="0.3">
      <c r="A5">
        <v>1</v>
      </c>
      <c r="B5" t="s">
        <v>841</v>
      </c>
      <c r="C5">
        <v>16</v>
      </c>
      <c r="D5" t="s">
        <v>868</v>
      </c>
      <c r="E5" t="s">
        <v>869</v>
      </c>
      <c r="F5" t="s">
        <v>865</v>
      </c>
      <c r="G5" s="206">
        <f>'Areas '!E19</f>
        <v>2749.0735749999999</v>
      </c>
      <c r="H5" s="206">
        <f>'Areas '!D19</f>
        <v>10996.2943</v>
      </c>
      <c r="I5" s="221">
        <f>TblAssets[[#This Row],[NIA m2]]+TblAssets[[#This Row],[Common Area m2]]</f>
        <v>13745.367875</v>
      </c>
      <c r="J5" s="247">
        <v>118367</v>
      </c>
      <c r="K5" s="247">
        <f>TblAssets[[#This Row],[NIA sq.ft ]]*$K$1</f>
        <v>10996.2943</v>
      </c>
      <c r="L5" s="88">
        <v>6704342</v>
      </c>
      <c r="M5">
        <v>120.7</v>
      </c>
      <c r="N5" t="s">
        <v>704</v>
      </c>
      <c r="S5" t="s">
        <v>714</v>
      </c>
      <c r="T5" t="s">
        <v>867</v>
      </c>
      <c r="U5" t="s">
        <v>870</v>
      </c>
      <c r="V5" t="s">
        <v>867</v>
      </c>
    </row>
    <row r="6" spans="1:22" ht="14.4" x14ac:dyDescent="0.3">
      <c r="A6">
        <v>1</v>
      </c>
      <c r="B6" t="s">
        <v>842</v>
      </c>
      <c r="C6">
        <v>19</v>
      </c>
      <c r="D6" t="s">
        <v>863</v>
      </c>
      <c r="E6" t="s">
        <v>864</v>
      </c>
      <c r="F6" t="s">
        <v>865</v>
      </c>
      <c r="G6" s="206">
        <f>'Areas '!E22</f>
        <v>1329.8634999999999</v>
      </c>
      <c r="H6" s="206">
        <f>'Areas '!D22</f>
        <v>5319.4539999999997</v>
      </c>
      <c r="I6" s="221">
        <f>TblAssets[[#This Row],[NIA m2]]+TblAssets[[#This Row],[Common Area m2]]</f>
        <v>6649.3174999999992</v>
      </c>
      <c r="J6" s="247">
        <v>57260</v>
      </c>
      <c r="K6" s="247">
        <f>TblAssets[[#This Row],[NIA sq.ft ]]*$K$1</f>
        <v>5319.4539999999997</v>
      </c>
      <c r="L6" s="88">
        <v>4161771</v>
      </c>
      <c r="M6" s="220">
        <v>55.8</v>
      </c>
      <c r="N6" t="s">
        <v>704</v>
      </c>
      <c r="Q6" t="s">
        <v>866</v>
      </c>
      <c r="S6" t="s">
        <v>714</v>
      </c>
      <c r="T6" t="s">
        <v>867</v>
      </c>
      <c r="U6" t="s">
        <v>867</v>
      </c>
      <c r="V6" t="s">
        <v>867</v>
      </c>
    </row>
    <row r="7" spans="1:22" ht="14.4" x14ac:dyDescent="0.3">
      <c r="A7">
        <v>1</v>
      </c>
      <c r="B7" t="s">
        <v>499</v>
      </c>
      <c r="C7">
        <v>7</v>
      </c>
      <c r="D7" t="s">
        <v>868</v>
      </c>
      <c r="E7" t="s">
        <v>864</v>
      </c>
      <c r="F7" t="s">
        <v>865</v>
      </c>
      <c r="G7" s="206">
        <f>'Areas '!E10</f>
        <v>1741.1782499999999</v>
      </c>
      <c r="H7" s="206">
        <f>'Areas '!D10</f>
        <v>6964.7129999999997</v>
      </c>
      <c r="I7" s="221">
        <f>TblAssets[[#This Row],[NIA m2]]+TblAssets[[#This Row],[Common Area m2]]</f>
        <v>8705.8912500000006</v>
      </c>
      <c r="J7" s="247">
        <v>74970</v>
      </c>
      <c r="K7" s="247">
        <f>TblAssets[[#This Row],[NIA sq.ft ]]*$K$1</f>
        <v>6964.7129999999997</v>
      </c>
      <c r="L7" s="88">
        <v>3734084</v>
      </c>
      <c r="M7">
        <v>57.7</v>
      </c>
      <c r="N7" t="s">
        <v>705</v>
      </c>
      <c r="Q7" t="s">
        <v>866</v>
      </c>
      <c r="S7" t="s">
        <v>714</v>
      </c>
      <c r="T7" t="s">
        <v>867</v>
      </c>
      <c r="U7" t="s">
        <v>870</v>
      </c>
      <c r="V7" t="s">
        <v>870</v>
      </c>
    </row>
    <row r="8" spans="1:22" ht="14.4" x14ac:dyDescent="0.3">
      <c r="A8">
        <v>1</v>
      </c>
      <c r="B8" t="s">
        <v>840</v>
      </c>
      <c r="C8">
        <v>15</v>
      </c>
      <c r="E8" t="s">
        <v>869</v>
      </c>
      <c r="F8" t="s">
        <v>865</v>
      </c>
      <c r="G8" s="206"/>
      <c r="H8" s="206">
        <f>'Areas '!D18</f>
        <v>566.3184</v>
      </c>
      <c r="I8" s="221">
        <f>TblAssets[[#This Row],[NIA m2]]+TblAssets[[#This Row],[Common Area m2]]</f>
        <v>566.3184</v>
      </c>
      <c r="J8" s="247">
        <v>6096</v>
      </c>
      <c r="K8" s="247">
        <f>TblAssets[[#This Row],[NIA sq.ft ]]*$K$1</f>
        <v>566.3184</v>
      </c>
      <c r="L8" s="88">
        <v>137000</v>
      </c>
      <c r="M8">
        <v>1.6</v>
      </c>
      <c r="S8" t="s">
        <v>724</v>
      </c>
      <c r="T8" t="s">
        <v>870</v>
      </c>
      <c r="U8" t="s">
        <v>867</v>
      </c>
      <c r="V8" t="s">
        <v>867</v>
      </c>
    </row>
    <row r="9" spans="1:22" ht="14.4" x14ac:dyDescent="0.3">
      <c r="A9">
        <v>1</v>
      </c>
      <c r="B9" t="s">
        <v>463</v>
      </c>
      <c r="C9">
        <v>18</v>
      </c>
      <c r="D9" t="s">
        <v>868</v>
      </c>
      <c r="E9" t="s">
        <v>864</v>
      </c>
      <c r="F9" t="s">
        <v>865</v>
      </c>
      <c r="G9" s="206">
        <f>'Areas '!E21</f>
        <v>101.77194999999999</v>
      </c>
      <c r="H9" s="206">
        <f>'Areas '!D21</f>
        <v>407.08779999999996</v>
      </c>
      <c r="I9" s="221">
        <f>TblAssets[[#This Row],[NIA m2]]+TblAssets[[#This Row],[Common Area m2]]</f>
        <v>508.85974999999996</v>
      </c>
      <c r="J9" s="247">
        <v>4382</v>
      </c>
      <c r="K9" s="247">
        <f>TblAssets[[#This Row],[NIA sq.ft ]]*$K$1</f>
        <v>407.08779999999996</v>
      </c>
      <c r="L9" s="88">
        <v>250951</v>
      </c>
      <c r="M9">
        <v>3.5</v>
      </c>
      <c r="Q9" t="s">
        <v>866</v>
      </c>
      <c r="S9" t="s">
        <v>716</v>
      </c>
      <c r="T9" t="s">
        <v>867</v>
      </c>
      <c r="U9" t="s">
        <v>870</v>
      </c>
      <c r="V9" t="s">
        <v>867</v>
      </c>
    </row>
    <row r="10" spans="1:22" ht="14.4" x14ac:dyDescent="0.3">
      <c r="A10">
        <v>1</v>
      </c>
      <c r="B10" t="s">
        <v>517</v>
      </c>
      <c r="C10">
        <v>17</v>
      </c>
      <c r="E10" t="s">
        <v>864</v>
      </c>
      <c r="F10" t="s">
        <v>871</v>
      </c>
      <c r="G10" s="206"/>
      <c r="H10" s="206">
        <f>'Areas '!D20</f>
        <v>1367.9524999999999</v>
      </c>
      <c r="I10" s="221">
        <f>TblAssets[[#This Row],[NIA m2]]+TblAssets[[#This Row],[Common Area m2]]</f>
        <v>1367.9524999999999</v>
      </c>
      <c r="J10" s="247">
        <v>14725</v>
      </c>
      <c r="K10" s="247">
        <f>TblAssets[[#This Row],[NIA sq.ft ]]*$K$1</f>
        <v>1367.9524999999999</v>
      </c>
      <c r="L10" s="88">
        <v>507289</v>
      </c>
      <c r="M10">
        <v>7.5</v>
      </c>
      <c r="S10" t="s">
        <v>717</v>
      </c>
      <c r="T10" t="s">
        <v>870</v>
      </c>
      <c r="U10" t="s">
        <v>870</v>
      </c>
      <c r="V10" t="s">
        <v>867</v>
      </c>
    </row>
    <row r="11" spans="1:22" ht="14.4" x14ac:dyDescent="0.3">
      <c r="A11">
        <v>1</v>
      </c>
      <c r="B11" t="s">
        <v>460</v>
      </c>
      <c r="C11">
        <v>1</v>
      </c>
      <c r="E11" t="s">
        <v>864</v>
      </c>
      <c r="F11" t="s">
        <v>865</v>
      </c>
      <c r="G11" s="206">
        <f>'Areas '!E4</f>
        <v>1390.2717250000001</v>
      </c>
      <c r="H11" s="206">
        <f>'Areas '!D4</f>
        <v>5561.0869000000002</v>
      </c>
      <c r="I11" s="206">
        <f>TblAssets[[#This Row],[NIA m2]]+TblAssets[[#This Row],[Common Area m2]]</f>
        <v>6951.3586250000008</v>
      </c>
      <c r="J11" s="247">
        <v>59861</v>
      </c>
      <c r="K11" s="247">
        <f>TblAssets[[#This Row],[NIA sq.ft ]]*$K$1</f>
        <v>5561.0869000000002</v>
      </c>
      <c r="L11" s="88">
        <v>2931619</v>
      </c>
      <c r="M11">
        <v>41.1</v>
      </c>
      <c r="Q11" t="s">
        <v>866</v>
      </c>
      <c r="S11" t="s">
        <v>717</v>
      </c>
      <c r="T11" t="s">
        <v>870</v>
      </c>
      <c r="U11" t="s">
        <v>870</v>
      </c>
      <c r="V11" t="s">
        <v>870</v>
      </c>
    </row>
    <row r="12" spans="1:22" ht="14.4" x14ac:dyDescent="0.3">
      <c r="A12">
        <v>1</v>
      </c>
      <c r="B12" t="s">
        <v>456</v>
      </c>
      <c r="C12">
        <v>10</v>
      </c>
      <c r="E12" t="s">
        <v>864</v>
      </c>
      <c r="F12" t="s">
        <v>871</v>
      </c>
      <c r="G12" s="206">
        <f>'Areas '!E13</f>
        <v>1573.1918249999999</v>
      </c>
      <c r="H12" s="206">
        <f>'Areas '!D13</f>
        <v>6292.7672999999995</v>
      </c>
      <c r="I12" s="221">
        <f>TblAssets[[#This Row],[NIA m2]]+TblAssets[[#This Row],[Common Area m2]]</f>
        <v>7865.9591249999994</v>
      </c>
      <c r="J12" s="247">
        <v>67737</v>
      </c>
      <c r="K12" s="247">
        <f>TblAssets[[#This Row],[NIA sq.ft ]]*$K$1</f>
        <v>6292.7672999999995</v>
      </c>
      <c r="L12" s="88">
        <v>1929634</v>
      </c>
      <c r="M12">
        <v>31.1</v>
      </c>
      <c r="S12" t="s">
        <v>717</v>
      </c>
      <c r="T12" t="s">
        <v>870</v>
      </c>
      <c r="U12" t="s">
        <v>867</v>
      </c>
      <c r="V12" t="s">
        <v>867</v>
      </c>
    </row>
    <row r="13" spans="1:22" ht="14.4" x14ac:dyDescent="0.3">
      <c r="A13">
        <v>1</v>
      </c>
      <c r="B13" t="s">
        <v>835</v>
      </c>
      <c r="C13">
        <v>5</v>
      </c>
      <c r="E13" t="s">
        <v>869</v>
      </c>
      <c r="F13" t="s">
        <v>865</v>
      </c>
      <c r="G13" s="206">
        <f>'Areas '!E8</f>
        <v>515.87369999999999</v>
      </c>
      <c r="H13" s="206">
        <f>'Areas '!D8</f>
        <v>2063.4947999999999</v>
      </c>
      <c r="I13" s="206">
        <f>TblAssets[[#This Row],[NIA m2]]+TblAssets[[#This Row],[Common Area m2]]</f>
        <v>2579.3685</v>
      </c>
      <c r="J13" s="247">
        <v>22212</v>
      </c>
      <c r="K13" s="247">
        <f>TblAssets[[#This Row],[NIA sq.ft ]]*$K$1</f>
        <v>2063.4947999999999</v>
      </c>
      <c r="L13" s="88">
        <v>1041690</v>
      </c>
      <c r="M13">
        <v>10.9</v>
      </c>
      <c r="S13" t="s">
        <v>718</v>
      </c>
      <c r="T13" t="s">
        <v>870</v>
      </c>
      <c r="U13" t="s">
        <v>870</v>
      </c>
      <c r="V13" t="s">
        <v>870</v>
      </c>
    </row>
    <row r="14" spans="1:22" ht="14.4" x14ac:dyDescent="0.3">
      <c r="A14">
        <v>1</v>
      </c>
      <c r="B14" t="s">
        <v>838</v>
      </c>
      <c r="C14">
        <v>13</v>
      </c>
      <c r="E14" t="s">
        <v>869</v>
      </c>
      <c r="F14" t="s">
        <v>872</v>
      </c>
      <c r="G14" s="206"/>
      <c r="H14" s="206">
        <f>'Areas '!D16</f>
        <v>16530.626</v>
      </c>
      <c r="I14" s="221">
        <f>TblAssets[[#This Row],[NIA m2]]+TblAssets[[#This Row],[Common Area m2]]</f>
        <v>16530.626</v>
      </c>
      <c r="J14" s="247">
        <v>177940</v>
      </c>
      <c r="K14" s="247">
        <f>TblAssets[[#This Row],[NIA sq.ft ]]*$K$1</f>
        <v>16530.626</v>
      </c>
      <c r="L14" s="88">
        <v>1242037</v>
      </c>
      <c r="M14">
        <v>17.899999999999999</v>
      </c>
      <c r="S14" t="s">
        <v>873</v>
      </c>
      <c r="T14" t="s">
        <v>870</v>
      </c>
      <c r="U14" t="s">
        <v>870</v>
      </c>
      <c r="V14" t="s">
        <v>870</v>
      </c>
    </row>
    <row r="15" spans="1:22" ht="14.4" x14ac:dyDescent="0.3">
      <c r="A15">
        <v>1</v>
      </c>
      <c r="B15" t="s">
        <v>461</v>
      </c>
      <c r="C15">
        <v>3</v>
      </c>
      <c r="D15" t="s">
        <v>874</v>
      </c>
      <c r="E15" t="s">
        <v>864</v>
      </c>
      <c r="F15" t="s">
        <v>865</v>
      </c>
      <c r="G15" s="206">
        <f>'Areas '!E6</f>
        <v>1012.0990499999998</v>
      </c>
      <c r="H15" s="206">
        <f>'Areas '!D6</f>
        <v>4048.3961999999997</v>
      </c>
      <c r="I15" s="206">
        <f>TblAssets[[#This Row],[NIA m2]]+TblAssets[[#This Row],[Common Area m2]]</f>
        <v>5060.4952499999999</v>
      </c>
      <c r="J15" s="247">
        <v>43578</v>
      </c>
      <c r="K15" s="247">
        <f>TblAssets[[#This Row],[NIA sq.ft ]]*$K$1</f>
        <v>4048.3961999999997</v>
      </c>
      <c r="L15" s="88">
        <v>2417394</v>
      </c>
      <c r="M15">
        <v>29.3</v>
      </c>
      <c r="Q15" t="s">
        <v>866</v>
      </c>
      <c r="S15" t="s">
        <v>873</v>
      </c>
      <c r="T15" t="s">
        <v>867</v>
      </c>
      <c r="U15" t="s">
        <v>867</v>
      </c>
      <c r="V15" t="s">
        <v>867</v>
      </c>
    </row>
    <row r="16" spans="1:22" ht="14.4" x14ac:dyDescent="0.3">
      <c r="A16">
        <v>1</v>
      </c>
      <c r="B16" t="s">
        <v>462</v>
      </c>
      <c r="C16">
        <v>4</v>
      </c>
      <c r="D16" t="s">
        <v>874</v>
      </c>
      <c r="E16" t="s">
        <v>864</v>
      </c>
      <c r="F16" t="s">
        <v>865</v>
      </c>
      <c r="G16" s="206">
        <f>'Areas '!E7</f>
        <v>1039.6671249999999</v>
      </c>
      <c r="H16" s="206">
        <f>'Areas '!D7</f>
        <v>4158.6684999999998</v>
      </c>
      <c r="I16" s="206">
        <f>TblAssets[[#This Row],[NIA m2]]+TblAssets[[#This Row],[Common Area m2]]</f>
        <v>5198.3356249999997</v>
      </c>
      <c r="J16" s="247">
        <v>44765</v>
      </c>
      <c r="K16" s="247">
        <f>TblAssets[[#This Row],[NIA sq.ft ]]*$K$1</f>
        <v>4158.6684999999998</v>
      </c>
      <c r="L16" s="88">
        <v>270832</v>
      </c>
      <c r="M16">
        <v>27.7</v>
      </c>
      <c r="Q16" t="s">
        <v>866</v>
      </c>
      <c r="S16" t="s">
        <v>873</v>
      </c>
      <c r="T16" t="s">
        <v>867</v>
      </c>
      <c r="U16" t="s">
        <v>870</v>
      </c>
      <c r="V16" t="s">
        <v>870</v>
      </c>
    </row>
    <row r="17" spans="1:22" ht="14.4" x14ac:dyDescent="0.3">
      <c r="A17">
        <v>1</v>
      </c>
      <c r="B17" t="s">
        <v>459</v>
      </c>
      <c r="C17">
        <v>8</v>
      </c>
      <c r="D17" t="s">
        <v>868</v>
      </c>
      <c r="E17" t="s">
        <v>864</v>
      </c>
      <c r="F17" t="s">
        <v>865</v>
      </c>
      <c r="G17" s="206">
        <f>'Areas '!E11</f>
        <v>2014.931325</v>
      </c>
      <c r="H17" s="206">
        <f>'Areas '!D11</f>
        <v>8059.7253000000001</v>
      </c>
      <c r="I17" s="221">
        <f>TblAssets[[#This Row],[NIA m2]]+TblAssets[[#This Row],[Common Area m2]]</f>
        <v>10074.656625</v>
      </c>
      <c r="J17" s="247">
        <v>86757</v>
      </c>
      <c r="K17" s="247">
        <f>TblAssets[[#This Row],[NIA sq.ft ]]*$K$1</f>
        <v>8059.7253000000001</v>
      </c>
      <c r="L17" s="88">
        <v>4006842</v>
      </c>
      <c r="M17">
        <v>64.099999999999994</v>
      </c>
      <c r="Q17" t="s">
        <v>866</v>
      </c>
      <c r="S17" t="s">
        <v>719</v>
      </c>
      <c r="T17" t="s">
        <v>867</v>
      </c>
      <c r="U17" t="s">
        <v>870</v>
      </c>
      <c r="V17" t="s">
        <v>870</v>
      </c>
    </row>
    <row r="18" spans="1:22" ht="14.4" x14ac:dyDescent="0.3">
      <c r="A18">
        <v>1</v>
      </c>
      <c r="B18" t="s">
        <v>875</v>
      </c>
      <c r="C18">
        <v>20</v>
      </c>
      <c r="E18" t="s">
        <v>869</v>
      </c>
      <c r="F18" t="s">
        <v>876</v>
      </c>
      <c r="G18" s="206">
        <f>'Areas '!E23+'Areas '!E24</f>
        <v>1251.8971750000001</v>
      </c>
      <c r="H18" s="206">
        <f>'Areas '!D23+'Areas '!D24</f>
        <v>5007.5887000000002</v>
      </c>
      <c r="I18" s="221">
        <f>TblAssets[[#This Row],[NIA m2]]+TblAssets[[#This Row],[Common Area m2]]</f>
        <v>6259.4858750000003</v>
      </c>
      <c r="J18" s="247">
        <v>53903</v>
      </c>
      <c r="K18" s="247">
        <v>5008</v>
      </c>
      <c r="L18" s="88">
        <v>1511768</v>
      </c>
      <c r="M18">
        <v>19.7</v>
      </c>
      <c r="S18" t="s">
        <v>719</v>
      </c>
      <c r="T18" t="s">
        <v>870</v>
      </c>
      <c r="U18" t="s">
        <v>870</v>
      </c>
      <c r="V18" t="s">
        <v>870</v>
      </c>
    </row>
    <row r="19" spans="1:22" ht="14.4" x14ac:dyDescent="0.3">
      <c r="A19">
        <v>1</v>
      </c>
      <c r="B19" t="s">
        <v>836</v>
      </c>
      <c r="C19">
        <v>11</v>
      </c>
      <c r="D19" t="s">
        <v>868</v>
      </c>
      <c r="E19" t="s">
        <v>869</v>
      </c>
      <c r="F19" t="s">
        <v>871</v>
      </c>
      <c r="G19" s="206">
        <f>'Areas '!E14</f>
        <v>332.48910000000001</v>
      </c>
      <c r="H19" s="206">
        <f>'Areas '!D14</f>
        <v>1329.9564</v>
      </c>
      <c r="I19" s="221">
        <f>TblAssets[[#This Row],[NIA m2]]+TblAssets[[#This Row],[Common Area m2]]</f>
        <v>1662.4455</v>
      </c>
      <c r="J19" s="247">
        <v>14316</v>
      </c>
      <c r="K19" s="247">
        <f>TblAssets[[#This Row],[NIA sq.ft ]]*$K$1</f>
        <v>1329.9564</v>
      </c>
      <c r="L19" s="88">
        <v>49869</v>
      </c>
      <c r="M19">
        <v>9</v>
      </c>
      <c r="N19" t="s">
        <v>705</v>
      </c>
      <c r="S19" t="s">
        <v>714</v>
      </c>
      <c r="T19" t="s">
        <v>870</v>
      </c>
      <c r="U19" t="s">
        <v>870</v>
      </c>
      <c r="V19" t="s">
        <v>870</v>
      </c>
    </row>
    <row r="20" spans="1:22" ht="14.4" x14ac:dyDescent="0.3">
      <c r="A20">
        <v>1</v>
      </c>
      <c r="B20" t="s">
        <v>839</v>
      </c>
      <c r="C20">
        <v>14</v>
      </c>
      <c r="D20" t="s">
        <v>868</v>
      </c>
      <c r="E20" t="s">
        <v>869</v>
      </c>
      <c r="F20" t="s">
        <v>865</v>
      </c>
      <c r="G20" s="206">
        <f>'Areas '!E17</f>
        <v>262.72120000000001</v>
      </c>
      <c r="H20" s="206">
        <f>'Areas '!D17</f>
        <v>1050.8848</v>
      </c>
      <c r="I20" s="221">
        <f>TblAssets[[#This Row],[NIA m2]]+TblAssets[[#This Row],[Common Area m2]]</f>
        <v>1313.606</v>
      </c>
      <c r="J20" s="247">
        <v>11312</v>
      </c>
      <c r="K20" s="247">
        <f>TblAssets[[#This Row],[NIA sq.ft ]]*$K$1</f>
        <v>1050.8848</v>
      </c>
      <c r="L20" s="88">
        <v>502065</v>
      </c>
      <c r="M20">
        <v>5.9</v>
      </c>
      <c r="S20" t="s">
        <v>720</v>
      </c>
      <c r="T20" t="s">
        <v>867</v>
      </c>
      <c r="U20" t="s">
        <v>870</v>
      </c>
      <c r="V20" t="s">
        <v>870</v>
      </c>
    </row>
    <row r="21" spans="1:22" ht="14.4" x14ac:dyDescent="0.3">
      <c r="A21">
        <v>1</v>
      </c>
      <c r="B21" t="s">
        <v>514</v>
      </c>
      <c r="C21">
        <v>9</v>
      </c>
      <c r="E21" t="s">
        <v>869</v>
      </c>
      <c r="F21" t="s">
        <v>865</v>
      </c>
      <c r="G21" s="206">
        <f>'Areas '!E12</f>
        <v>216.94472499999998</v>
      </c>
      <c r="H21" s="206">
        <f>'Areas '!D12</f>
        <v>867.77890000000002</v>
      </c>
      <c r="I21" s="221">
        <f>TblAssets[[#This Row],[NIA m2]]+TblAssets[[#This Row],[Common Area m2]]</f>
        <v>1084.7236250000001</v>
      </c>
      <c r="J21" s="247">
        <v>9341</v>
      </c>
      <c r="K21" s="247">
        <f>TblAssets[[#This Row],[NIA sq.ft ]]*$K$1</f>
        <v>867.77890000000002</v>
      </c>
      <c r="L21" s="88">
        <v>604932</v>
      </c>
      <c r="M21">
        <v>7</v>
      </c>
      <c r="S21" t="s">
        <v>719</v>
      </c>
      <c r="T21" t="s">
        <v>870</v>
      </c>
      <c r="U21" t="s">
        <v>870</v>
      </c>
      <c r="V21" t="s">
        <v>867</v>
      </c>
    </row>
    <row r="22" spans="1:22" ht="14.4" x14ac:dyDescent="0.3">
      <c r="A22">
        <v>1</v>
      </c>
      <c r="B22" t="s">
        <v>837</v>
      </c>
      <c r="C22">
        <v>12</v>
      </c>
      <c r="E22" t="s">
        <v>864</v>
      </c>
      <c r="F22" t="s">
        <v>871</v>
      </c>
      <c r="G22" s="206">
        <f>'Areas '!E15</f>
        <v>4254.1000249999997</v>
      </c>
      <c r="H22" s="206">
        <f>'Areas '!D15</f>
        <v>17016.400099999999</v>
      </c>
      <c r="I22" s="221">
        <f>TblAssets[[#This Row],[NIA m2]]+TblAssets[[#This Row],[Common Area m2]]</f>
        <v>21270.500124999999</v>
      </c>
      <c r="J22" s="247">
        <v>183169</v>
      </c>
      <c r="K22" s="247">
        <f>TblAssets[[#This Row],[NIA sq.ft ]]*$K$1</f>
        <v>17016.400099999999</v>
      </c>
      <c r="L22" s="88">
        <v>5391146</v>
      </c>
      <c r="M22">
        <v>87.1</v>
      </c>
      <c r="S22" t="s">
        <v>716</v>
      </c>
      <c r="T22" t="s">
        <v>870</v>
      </c>
      <c r="U22" t="s">
        <v>867</v>
      </c>
      <c r="V22" t="s">
        <v>870</v>
      </c>
    </row>
    <row r="23" spans="1:22" ht="15" customHeight="1" x14ac:dyDescent="0.3">
      <c r="G23" s="206"/>
      <c r="H23" s="206"/>
      <c r="I23" s="206"/>
      <c r="J23" s="247"/>
      <c r="K23" s="247"/>
      <c r="L23" s="88"/>
    </row>
    <row r="24" spans="1:22" ht="14.4" x14ac:dyDescent="0.3">
      <c r="H24">
        <v>0</v>
      </c>
      <c r="I24">
        <v>0</v>
      </c>
      <c r="J24" s="248"/>
      <c r="K24" s="248">
        <f>TblAssets[[#This Row],[NIA sq.ft ]]*$K$1</f>
        <v>0</v>
      </c>
      <c r="L24" s="88"/>
    </row>
    <row r="25" spans="1:22" ht="14.4" x14ac:dyDescent="0.3">
      <c r="B25" t="s">
        <v>877</v>
      </c>
      <c r="I25" s="206">
        <f>SUM(TblAssets[GIA m2])</f>
        <v>150360.31888214286</v>
      </c>
      <c r="L25" s="206">
        <f>SUM(TblAssets[Rental Income 2024])</f>
        <v>51758404</v>
      </c>
      <c r="M25">
        <f>SUM(TblAssets[Value])</f>
        <v>823.6</v>
      </c>
    </row>
    <row r="26" spans="1:22" ht="14.4" x14ac:dyDescent="0.3">
      <c r="B26" t="s">
        <v>878</v>
      </c>
      <c r="I26" s="206">
        <f>SUM(I3:I21,I22)</f>
        <v>150360.31888214286</v>
      </c>
      <c r="L26" s="206">
        <f>SUM(L3:L21,L22)</f>
        <v>51758404</v>
      </c>
      <c r="M26">
        <f>SUM(M3:M21,M22)</f>
        <v>823.6</v>
      </c>
    </row>
    <row r="27" spans="1:22" ht="14.4" x14ac:dyDescent="0.3">
      <c r="B27" t="s">
        <v>865</v>
      </c>
      <c r="E27">
        <f>SUMIFS(A3:A24, E3:E24, "managed", F3:F24, "Office")</f>
        <v>9</v>
      </c>
      <c r="I27" s="206">
        <f>SUM(I22,I21,I20,I18,I17,I16,I11,I10,I9,I8,I7,I6,I5,I4,I3)</f>
        <v>116661.42450714283</v>
      </c>
      <c r="L27" s="206"/>
    </row>
    <row r="28" spans="1:22" ht="14.4" x14ac:dyDescent="0.3">
      <c r="A28" s="101">
        <f>SUMIF(TblAssets[Building Type], "Office", A3:A24)</f>
        <v>14</v>
      </c>
      <c r="B28" t="s">
        <v>865</v>
      </c>
      <c r="I28" s="148">
        <f>SUMIF(F3:F24, "Office", I3:I24)</f>
        <v>95403.349757142845</v>
      </c>
      <c r="J28" s="101"/>
      <c r="K28" s="101"/>
      <c r="L28" s="206">
        <f>SUMIF(F3:F24, "Office", L3:L24)</f>
        <v>41126661</v>
      </c>
      <c r="M28">
        <f>SUMIF(F3:F24, "Office", M3:M24)</f>
        <v>651.30000000000007</v>
      </c>
    </row>
    <row r="29" spans="1:22" ht="14.4" x14ac:dyDescent="0.3">
      <c r="B29" t="s">
        <v>879</v>
      </c>
      <c r="I29" s="148">
        <f>SUMIFS('2024 Asset list'!I3:I24, E3:E24, "Managed", F3:F24, "Office")</f>
        <v>76113.965357142864</v>
      </c>
      <c r="J29" s="101"/>
      <c r="K29" s="101"/>
      <c r="L29" s="207">
        <f>SUMIFS(L3:L24, E3:E24, "Managed", F3:F24, "Office")</f>
        <v>32136632</v>
      </c>
      <c r="M29" s="108">
        <f>SUMIFS(M3:M24, E3:E24, "Managed", F3:F24, "Office")</f>
        <v>505.20000000000005</v>
      </c>
    </row>
    <row r="30" spans="1:22" ht="14.4" x14ac:dyDescent="0.3">
      <c r="B30" t="s">
        <v>880</v>
      </c>
      <c r="I30" s="148">
        <f>SUMIFS(I3:I24, E3:E24, "Managed")</f>
        <v>106618.37710714285</v>
      </c>
      <c r="J30" s="101"/>
      <c r="K30" s="101"/>
      <c r="L30" s="207">
        <f>SUMIFS(L3:L24, E3:E24, "Managed")</f>
        <v>39964701</v>
      </c>
      <c r="M30" s="108">
        <f>SUMIFS(M3:M24, E3:E24, "Managed")</f>
        <v>630.90000000000009</v>
      </c>
    </row>
    <row r="31" spans="1:22" ht="14.4" x14ac:dyDescent="0.3">
      <c r="B31" t="s">
        <v>881</v>
      </c>
      <c r="N31">
        <f>SUM(I4,I8,I9,I18,I21)</f>
        <v>26565.146507142854</v>
      </c>
    </row>
    <row r="32" spans="1:22" ht="14.4" x14ac:dyDescent="0.3">
      <c r="B32" t="s">
        <v>882</v>
      </c>
      <c r="N32" s="72">
        <f>N31/I27</f>
        <v>0.22771148748930586</v>
      </c>
    </row>
    <row r="33" spans="2:9" ht="14.4" x14ac:dyDescent="0.3">
      <c r="B33" t="s">
        <v>883</v>
      </c>
    </row>
    <row r="34" spans="2:9" ht="15" customHeight="1" x14ac:dyDescent="0.3">
      <c r="B34" t="s">
        <v>884</v>
      </c>
    </row>
    <row r="36" spans="2:9" ht="15" customHeight="1" x14ac:dyDescent="0.3">
      <c r="B36" t="s">
        <v>885</v>
      </c>
      <c r="I36">
        <v>466</v>
      </c>
    </row>
  </sheetData>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66182-93AC-444E-B4DF-0FDCFB640C2D}">
  <sheetPr codeName="Sheet2"/>
  <dimension ref="A1"/>
  <sheetViews>
    <sheetView workbookViewId="0">
      <selection activeCell="X22" sqref="X22"/>
    </sheetView>
  </sheetViews>
  <sheetFormatPr defaultRowHeight="14.4" x14ac:dyDescent="0.3"/>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C65A-3CA0-47F2-99BE-E60957223090}">
  <dimension ref="B2:G55"/>
  <sheetViews>
    <sheetView workbookViewId="0">
      <selection activeCell="C14" sqref="C14"/>
    </sheetView>
  </sheetViews>
  <sheetFormatPr defaultRowHeight="14.4" x14ac:dyDescent="0.3"/>
  <cols>
    <col min="2" max="2" width="75.5546875" customWidth="1"/>
    <col min="3" max="3" width="64.44140625" customWidth="1"/>
    <col min="4" max="4" width="17.77734375" customWidth="1"/>
    <col min="5" max="5" width="31.21875" customWidth="1"/>
    <col min="6" max="6" width="17.109375" customWidth="1"/>
    <col min="7" max="7" width="19.109375" customWidth="1"/>
  </cols>
  <sheetData>
    <row r="2" spans="2:6" x14ac:dyDescent="0.3">
      <c r="B2" s="68" t="s">
        <v>886</v>
      </c>
    </row>
    <row r="3" spans="2:6" x14ac:dyDescent="0.3">
      <c r="C3" s="68" t="s">
        <v>35</v>
      </c>
      <c r="D3" s="68" t="s">
        <v>887</v>
      </c>
    </row>
    <row r="4" spans="2:6" x14ac:dyDescent="0.3">
      <c r="B4" s="68" t="s">
        <v>888</v>
      </c>
      <c r="C4" s="87">
        <f>'[24]3'!D15</f>
        <v>16213126.750929432</v>
      </c>
      <c r="D4">
        <f>C4/1000</f>
        <v>16213.126750929432</v>
      </c>
    </row>
    <row r="5" spans="2:6" x14ac:dyDescent="0.3">
      <c r="B5" s="68"/>
      <c r="C5" s="68" t="s">
        <v>887</v>
      </c>
      <c r="D5" s="68" t="s">
        <v>887</v>
      </c>
      <c r="E5" s="68" t="s">
        <v>887</v>
      </c>
    </row>
    <row r="6" spans="2:6" x14ac:dyDescent="0.3">
      <c r="B6" s="68"/>
      <c r="C6" t="s">
        <v>889</v>
      </c>
      <c r="D6" t="s">
        <v>890</v>
      </c>
      <c r="E6" t="s">
        <v>891</v>
      </c>
    </row>
    <row r="7" spans="2:6" x14ac:dyDescent="0.3">
      <c r="B7" s="68" t="s">
        <v>892</v>
      </c>
      <c r="C7" s="196">
        <f>'[24]3'!D10 / 1000</f>
        <v>6536.3169352120194</v>
      </c>
      <c r="D7" s="147">
        <f>('[24]3'!D8-('[24]3'!D10+'[24]3'!D9))/1000</f>
        <v>4328.0741647324976</v>
      </c>
      <c r="E7" s="196">
        <f>SUM(C7,D7)</f>
        <v>10864.391099944518</v>
      </c>
    </row>
    <row r="8" spans="2:6" x14ac:dyDescent="0.3">
      <c r="B8" s="68" t="s">
        <v>893</v>
      </c>
      <c r="C8" s="147">
        <f>'[24]3'!D9 / 1000</f>
        <v>17.770355650000003</v>
      </c>
      <c r="E8">
        <v>17.77</v>
      </c>
    </row>
    <row r="9" spans="2:6" x14ac:dyDescent="0.3">
      <c r="B9" s="68" t="s">
        <v>894</v>
      </c>
      <c r="D9">
        <v>5330.9650000000001</v>
      </c>
      <c r="E9">
        <v>5330.9650000000001</v>
      </c>
    </row>
    <row r="10" spans="2:6" x14ac:dyDescent="0.3">
      <c r="B10" s="68"/>
    </row>
    <row r="11" spans="2:6" x14ac:dyDescent="0.3">
      <c r="B11" s="68"/>
    </row>
    <row r="12" spans="2:6" ht="43.2" x14ac:dyDescent="0.3">
      <c r="B12" s="68"/>
      <c r="C12" s="190" t="s">
        <v>895</v>
      </c>
      <c r="D12" s="68" t="s">
        <v>896</v>
      </c>
      <c r="E12" s="68" t="s">
        <v>897</v>
      </c>
      <c r="F12" s="190" t="s">
        <v>898</v>
      </c>
    </row>
    <row r="13" spans="2:6" x14ac:dyDescent="0.3">
      <c r="B13" s="68" t="s">
        <v>899</v>
      </c>
      <c r="C13" t="s">
        <v>900</v>
      </c>
      <c r="D13">
        <v>2019</v>
      </c>
      <c r="E13">
        <v>2030</v>
      </c>
    </row>
    <row r="14" spans="2:6" x14ac:dyDescent="0.3">
      <c r="B14" s="68" t="s">
        <v>901</v>
      </c>
      <c r="C14" s="106">
        <f>'[24]6'!E10</f>
        <v>366.93</v>
      </c>
      <c r="F14" t="s">
        <v>902</v>
      </c>
    </row>
    <row r="15" spans="2:6" x14ac:dyDescent="0.3">
      <c r="B15" s="68" t="s">
        <v>903</v>
      </c>
      <c r="C15" s="106">
        <f>'[24]6'!E13</f>
        <v>687.65403860000004</v>
      </c>
      <c r="F15" t="s">
        <v>902</v>
      </c>
    </row>
    <row r="16" spans="2:6" x14ac:dyDescent="0.3">
      <c r="B16" s="68" t="s">
        <v>904</v>
      </c>
      <c r="C16">
        <v>0</v>
      </c>
      <c r="F16" t="s">
        <v>902</v>
      </c>
    </row>
    <row r="17" spans="2:6" x14ac:dyDescent="0.3">
      <c r="B17" s="68" t="s">
        <v>905</v>
      </c>
      <c r="C17">
        <v>1055</v>
      </c>
      <c r="D17" t="s">
        <v>902</v>
      </c>
      <c r="E17" t="s">
        <v>902</v>
      </c>
      <c r="F17" t="s">
        <v>902</v>
      </c>
    </row>
    <row r="18" spans="2:6" x14ac:dyDescent="0.3">
      <c r="B18" s="68" t="s">
        <v>906</v>
      </c>
      <c r="C18" t="s">
        <v>902</v>
      </c>
      <c r="D18" t="s">
        <v>902</v>
      </c>
      <c r="E18" t="s">
        <v>902</v>
      </c>
      <c r="F18" t="s">
        <v>902</v>
      </c>
    </row>
    <row r="22" spans="2:6" x14ac:dyDescent="0.3">
      <c r="B22" s="68" t="s">
        <v>907</v>
      </c>
    </row>
    <row r="23" spans="2:6" x14ac:dyDescent="0.3">
      <c r="B23" s="68" t="s">
        <v>908</v>
      </c>
      <c r="C23">
        <f>'[24]6'!E18 + '[24]6'!E19</f>
        <v>1418.5</v>
      </c>
    </row>
    <row r="24" spans="2:6" x14ac:dyDescent="0.3">
      <c r="B24" s="68" t="s">
        <v>909</v>
      </c>
      <c r="C24">
        <f>'[24]6'!E20</f>
        <v>18916.22</v>
      </c>
    </row>
    <row r="25" spans="2:6" x14ac:dyDescent="0.3">
      <c r="B25" s="68" t="s">
        <v>910</v>
      </c>
      <c r="C25">
        <f>'[24]6'!E21</f>
        <v>215.39</v>
      </c>
    </row>
    <row r="26" spans="2:6" x14ac:dyDescent="0.3">
      <c r="B26" s="68" t="s">
        <v>911</v>
      </c>
    </row>
    <row r="27" spans="2:6" x14ac:dyDescent="0.3">
      <c r="B27" s="68" t="s">
        <v>912</v>
      </c>
      <c r="C27">
        <f>'[24]6'!E22</f>
        <v>50.92</v>
      </c>
    </row>
    <row r="28" spans="2:6" x14ac:dyDescent="0.3">
      <c r="B28" s="68" t="s">
        <v>913</v>
      </c>
      <c r="C28">
        <f>'[24]6'!E23</f>
        <v>23.4</v>
      </c>
    </row>
    <row r="29" spans="2:6" x14ac:dyDescent="0.3">
      <c r="B29" s="68" t="s">
        <v>914</v>
      </c>
      <c r="C29">
        <f>'[24]6'!E24</f>
        <v>19.73</v>
      </c>
    </row>
    <row r="30" spans="2:6" x14ac:dyDescent="0.3">
      <c r="B30" s="68" t="s">
        <v>915</v>
      </c>
    </row>
    <row r="31" spans="2:6" x14ac:dyDescent="0.3">
      <c r="B31" s="68" t="s">
        <v>916</v>
      </c>
    </row>
    <row r="32" spans="2:6" x14ac:dyDescent="0.3">
      <c r="B32" s="68" t="s">
        <v>917</v>
      </c>
    </row>
    <row r="33" spans="2:7" x14ac:dyDescent="0.3">
      <c r="B33" s="68" t="s">
        <v>918</v>
      </c>
    </row>
    <row r="34" spans="2:7" x14ac:dyDescent="0.3">
      <c r="B34" s="68" t="s">
        <v>919</v>
      </c>
    </row>
    <row r="35" spans="2:7" x14ac:dyDescent="0.3">
      <c r="B35" s="68" t="s">
        <v>920</v>
      </c>
      <c r="C35">
        <f>'[24]6'!E25</f>
        <v>2421.0700000000002</v>
      </c>
    </row>
    <row r="36" spans="2:7" x14ac:dyDescent="0.3">
      <c r="B36" s="68" t="s">
        <v>921</v>
      </c>
    </row>
    <row r="37" spans="2:7" x14ac:dyDescent="0.3">
      <c r="B37" s="68" t="s">
        <v>922</v>
      </c>
    </row>
    <row r="38" spans="2:7" x14ac:dyDescent="0.3">
      <c r="B38" s="68" t="s">
        <v>923</v>
      </c>
      <c r="C38">
        <v>23065</v>
      </c>
    </row>
    <row r="39" spans="2:7" x14ac:dyDescent="0.3">
      <c r="B39" s="68" t="s">
        <v>924</v>
      </c>
      <c r="C39">
        <v>24120</v>
      </c>
    </row>
    <row r="40" spans="2:7" x14ac:dyDescent="0.3">
      <c r="B40" s="68" t="s">
        <v>925</v>
      </c>
      <c r="C40" t="s">
        <v>902</v>
      </c>
    </row>
    <row r="43" spans="2:7" x14ac:dyDescent="0.3">
      <c r="B43" s="68" t="s">
        <v>926</v>
      </c>
      <c r="C43">
        <f>'[24]4'!D8</f>
        <v>78269.02054447931</v>
      </c>
    </row>
    <row r="44" spans="2:7" x14ac:dyDescent="0.3">
      <c r="B44" s="68" t="s">
        <v>927</v>
      </c>
      <c r="C44">
        <v>0</v>
      </c>
    </row>
    <row r="46" spans="2:7" ht="43.2" x14ac:dyDescent="0.3">
      <c r="B46" t="s">
        <v>928</v>
      </c>
      <c r="C46" s="68" t="s">
        <v>929</v>
      </c>
      <c r="D46" s="414" t="s">
        <v>648</v>
      </c>
      <c r="E46" s="414" t="s">
        <v>930</v>
      </c>
      <c r="F46" s="414" t="s">
        <v>931</v>
      </c>
      <c r="G46" s="414" t="s">
        <v>932</v>
      </c>
    </row>
    <row r="47" spans="2:7" x14ac:dyDescent="0.3">
      <c r="B47">
        <v>1</v>
      </c>
      <c r="C47" t="s">
        <v>933</v>
      </c>
      <c r="D47" t="s">
        <v>934</v>
      </c>
      <c r="E47" s="147">
        <f>'[24]UPDATED WASTE DATA 2025'!BG21</f>
        <v>564.04035957109932</v>
      </c>
      <c r="G47" t="s">
        <v>902</v>
      </c>
    </row>
    <row r="48" spans="2:7" x14ac:dyDescent="0.3">
      <c r="B48">
        <v>2</v>
      </c>
      <c r="C48" t="s">
        <v>935</v>
      </c>
      <c r="D48" t="s">
        <v>934</v>
      </c>
      <c r="E48" s="147">
        <f>'[24]UPDATED WASTE DATA 2025'!BF21</f>
        <v>47.414397284793353</v>
      </c>
      <c r="G48" t="s">
        <v>902</v>
      </c>
    </row>
    <row r="49" spans="2:7" x14ac:dyDescent="0.3">
      <c r="B49">
        <v>3</v>
      </c>
      <c r="C49" t="s">
        <v>936</v>
      </c>
      <c r="D49" t="s">
        <v>934</v>
      </c>
      <c r="F49" s="543">
        <f>'[24]UPDATED WASTE DATA 2025'!BE21</f>
        <v>183.4288189202139</v>
      </c>
      <c r="G49" t="s">
        <v>902</v>
      </c>
    </row>
    <row r="50" spans="2:7" x14ac:dyDescent="0.3">
      <c r="B50" t="s">
        <v>937</v>
      </c>
      <c r="C50" t="s">
        <v>938</v>
      </c>
      <c r="D50" t="s">
        <v>934</v>
      </c>
    </row>
    <row r="51" spans="2:7" x14ac:dyDescent="0.3">
      <c r="C51" t="s">
        <v>939</v>
      </c>
      <c r="D51" t="s">
        <v>934</v>
      </c>
    </row>
    <row r="52" spans="2:7" x14ac:dyDescent="0.3">
      <c r="C52" t="s">
        <v>940</v>
      </c>
      <c r="D52" t="s">
        <v>934</v>
      </c>
    </row>
    <row r="53" spans="2:7" x14ac:dyDescent="0.3">
      <c r="C53" t="s">
        <v>941</v>
      </c>
      <c r="D53" t="s">
        <v>942</v>
      </c>
      <c r="E53" t="s">
        <v>902</v>
      </c>
    </row>
    <row r="54" spans="2:7" x14ac:dyDescent="0.3">
      <c r="C54" t="s">
        <v>943</v>
      </c>
      <c r="D54" t="s">
        <v>942</v>
      </c>
      <c r="E54" t="s">
        <v>902</v>
      </c>
    </row>
    <row r="55" spans="2:7" x14ac:dyDescent="0.3">
      <c r="C55" t="s">
        <v>944</v>
      </c>
      <c r="D55" t="s">
        <v>942</v>
      </c>
      <c r="E55" t="s">
        <v>902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0C5B5-2F42-4FA1-A5CC-3AEC3CA8B2E3}">
  <dimension ref="A1:J254"/>
  <sheetViews>
    <sheetView workbookViewId="0">
      <selection activeCell="N16" sqref="N16"/>
    </sheetView>
  </sheetViews>
  <sheetFormatPr defaultRowHeight="14.4" x14ac:dyDescent="0.3"/>
  <cols>
    <col min="1" max="1" width="47.44140625" customWidth="1"/>
    <col min="2" max="7" width="16.77734375" customWidth="1"/>
    <col min="8" max="8" width="14.77734375" bestFit="1" customWidth="1"/>
    <col min="9" max="9" width="13.5546875" bestFit="1" customWidth="1"/>
  </cols>
  <sheetData>
    <row r="1" spans="1:10" x14ac:dyDescent="0.3">
      <c r="A1" s="860" t="s">
        <v>945</v>
      </c>
      <c r="B1" s="860"/>
      <c r="C1" s="860"/>
    </row>
    <row r="2" spans="1:10" x14ac:dyDescent="0.3">
      <c r="A2" s="728" t="s">
        <v>946</v>
      </c>
      <c r="B2" s="87">
        <f>SUM(B44,F251,'Gas Building Totals 2025'!H68)</f>
        <v>12244894.988685835</v>
      </c>
      <c r="C2" t="s">
        <v>35</v>
      </c>
      <c r="D2" t="s">
        <v>947</v>
      </c>
      <c r="H2">
        <v>5677221.698685837</v>
      </c>
    </row>
    <row r="3" spans="1:10" x14ac:dyDescent="0.3">
      <c r="A3" s="728" t="s">
        <v>948</v>
      </c>
      <c r="H3">
        <v>2761942</v>
      </c>
    </row>
    <row r="4" spans="1:10" ht="15.6" x14ac:dyDescent="0.3">
      <c r="A4" s="729" t="s">
        <v>949</v>
      </c>
      <c r="B4">
        <f>'Emissions 2025'!H12</f>
        <v>387.98979794300004</v>
      </c>
      <c r="C4" t="s">
        <v>950</v>
      </c>
      <c r="H4">
        <v>3767326.2899999996</v>
      </c>
    </row>
    <row r="5" spans="1:10" ht="15.6" x14ac:dyDescent="0.3">
      <c r="A5" s="729" t="s">
        <v>951</v>
      </c>
      <c r="B5" s="147">
        <f>'Emissions 2025'!I29</f>
        <v>698.49555785099994</v>
      </c>
      <c r="C5" t="s">
        <v>950</v>
      </c>
      <c r="H5" s="781">
        <f>SUM(H2:H4)</f>
        <v>12206489.988685835</v>
      </c>
    </row>
    <row r="6" spans="1:10" ht="15.6" x14ac:dyDescent="0.3">
      <c r="A6" s="729" t="s">
        <v>952</v>
      </c>
      <c r="B6" s="543">
        <f>'Emissions 2025'!C82</f>
        <v>1569.790323163</v>
      </c>
      <c r="C6" t="s">
        <v>950</v>
      </c>
    </row>
    <row r="7" spans="1:10" x14ac:dyDescent="0.3">
      <c r="A7" s="728" t="s">
        <v>953</v>
      </c>
      <c r="B7" s="147">
        <f>'2025 Water Data Est.'!B92</f>
        <v>21842.368236723487</v>
      </c>
      <c r="C7" t="s">
        <v>58</v>
      </c>
      <c r="H7">
        <v>5715626.6582622519</v>
      </c>
    </row>
    <row r="8" spans="1:10" x14ac:dyDescent="0.3">
      <c r="A8" s="728" t="s">
        <v>954</v>
      </c>
      <c r="H8">
        <v>2761942</v>
      </c>
    </row>
    <row r="9" spans="1:10" ht="15.6" x14ac:dyDescent="0.3">
      <c r="A9" s="729" t="s">
        <v>955</v>
      </c>
      <c r="B9" s="147">
        <f>'UPDATED WASTE DATA 2025'!BF21 + 'UPDATED WASTE DATA 2025'!BG21</f>
        <v>611.4547568558927</v>
      </c>
      <c r="C9" t="s">
        <v>65</v>
      </c>
      <c r="H9">
        <v>3767326.2899999996</v>
      </c>
    </row>
    <row r="10" spans="1:10" ht="15.6" x14ac:dyDescent="0.3">
      <c r="A10" s="729" t="s">
        <v>956</v>
      </c>
      <c r="B10" s="147">
        <f>'UPDATED WASTE DATA 2025'!BE21</f>
        <v>183.4288189202139</v>
      </c>
      <c r="C10" t="s">
        <v>65</v>
      </c>
    </row>
    <row r="11" spans="1:10" x14ac:dyDescent="0.3">
      <c r="B11" s="730"/>
    </row>
    <row r="15" spans="1:10" ht="21" x14ac:dyDescent="0.3">
      <c r="A15" s="859" t="s">
        <v>957</v>
      </c>
      <c r="B15" s="859"/>
      <c r="C15" s="859"/>
      <c r="D15" s="859"/>
      <c r="E15" s="859"/>
      <c r="F15" s="859"/>
      <c r="G15" s="859"/>
      <c r="H15" s="859"/>
      <c r="I15" s="248">
        <v>1E-3</v>
      </c>
      <c r="J15" s="248" t="s">
        <v>958</v>
      </c>
    </row>
    <row r="16" spans="1:10" ht="103.2" customHeight="1" x14ac:dyDescent="0.3">
      <c r="A16" s="717" t="s">
        <v>959</v>
      </c>
      <c r="B16" s="718" t="s">
        <v>960</v>
      </c>
      <c r="C16" s="718" t="s">
        <v>961</v>
      </c>
      <c r="D16" s="718" t="s">
        <v>962</v>
      </c>
      <c r="E16" s="718" t="s">
        <v>963</v>
      </c>
      <c r="F16" s="718" t="s">
        <v>964</v>
      </c>
      <c r="G16" s="718" t="s">
        <v>965</v>
      </c>
      <c r="H16" s="719" t="s">
        <v>966</v>
      </c>
      <c r="I16" s="248" t="s">
        <v>967</v>
      </c>
      <c r="J16" s="248"/>
    </row>
    <row r="17" spans="1:10" x14ac:dyDescent="0.3">
      <c r="A17" s="720" t="s">
        <v>453</v>
      </c>
      <c r="B17" s="721">
        <v>264603</v>
      </c>
      <c r="C17" s="721">
        <v>264603</v>
      </c>
      <c r="D17" s="722">
        <v>0</v>
      </c>
      <c r="E17" s="723">
        <v>66918.12</v>
      </c>
      <c r="F17" s="722">
        <v>0</v>
      </c>
      <c r="G17" s="722">
        <v>0</v>
      </c>
      <c r="H17" s="724">
        <v>0</v>
      </c>
      <c r="I17" s="248">
        <v>66.918116060000003</v>
      </c>
      <c r="J17" s="248"/>
    </row>
    <row r="18" spans="1:10" x14ac:dyDescent="0.3">
      <c r="A18" s="720" t="s">
        <v>497</v>
      </c>
      <c r="B18" s="721">
        <v>438886</v>
      </c>
      <c r="C18" s="721">
        <v>438886</v>
      </c>
      <c r="D18" s="722">
        <v>0</v>
      </c>
      <c r="E18" s="723">
        <v>110994.26</v>
      </c>
      <c r="F18" s="722">
        <v>0</v>
      </c>
      <c r="G18" s="722">
        <v>0</v>
      </c>
      <c r="H18" s="724">
        <v>0</v>
      </c>
      <c r="I18" s="248">
        <v>110.9942628</v>
      </c>
      <c r="J18" s="248"/>
    </row>
    <row r="19" spans="1:10" x14ac:dyDescent="0.3">
      <c r="A19" s="720" t="s">
        <v>502</v>
      </c>
      <c r="B19" s="721">
        <v>197350</v>
      </c>
      <c r="C19" s="721">
        <v>197350</v>
      </c>
      <c r="D19" s="722">
        <v>0</v>
      </c>
      <c r="E19" s="723">
        <v>49909.89</v>
      </c>
      <c r="F19" s="722">
        <v>0</v>
      </c>
      <c r="G19" s="722">
        <v>0</v>
      </c>
      <c r="H19" s="724">
        <v>0</v>
      </c>
      <c r="I19" s="248">
        <v>49.909891250000001</v>
      </c>
      <c r="J19" s="248"/>
    </row>
    <row r="20" spans="1:10" x14ac:dyDescent="0.3">
      <c r="A20" s="720" t="s">
        <v>499</v>
      </c>
      <c r="B20" s="721">
        <v>186524</v>
      </c>
      <c r="C20" s="721">
        <v>186524</v>
      </c>
      <c r="D20" s="722">
        <v>0</v>
      </c>
      <c r="E20" s="723">
        <v>47172</v>
      </c>
      <c r="F20" s="722">
        <v>0</v>
      </c>
      <c r="G20" s="722">
        <v>0</v>
      </c>
      <c r="H20" s="724">
        <v>0</v>
      </c>
      <c r="I20" s="248">
        <v>47.172000429999997</v>
      </c>
      <c r="J20" s="248"/>
    </row>
    <row r="21" spans="1:10" x14ac:dyDescent="0.3">
      <c r="A21" s="720" t="s">
        <v>463</v>
      </c>
      <c r="B21" s="721">
        <v>6381</v>
      </c>
      <c r="C21" s="721">
        <v>6381</v>
      </c>
      <c r="D21" s="722">
        <v>0</v>
      </c>
      <c r="E21" s="723">
        <v>1613.81</v>
      </c>
      <c r="F21" s="722">
        <v>0</v>
      </c>
      <c r="G21" s="722">
        <v>0</v>
      </c>
      <c r="H21" s="724">
        <v>0</v>
      </c>
      <c r="I21" s="248">
        <v>1.6138053809999999</v>
      </c>
      <c r="J21" s="248"/>
    </row>
    <row r="22" spans="1:10" x14ac:dyDescent="0.3">
      <c r="A22" s="720" t="s">
        <v>460</v>
      </c>
      <c r="B22" s="721">
        <v>42869</v>
      </c>
      <c r="C22" s="721">
        <v>42869</v>
      </c>
      <c r="D22" s="722">
        <v>0</v>
      </c>
      <c r="E22" s="723">
        <v>10841.52</v>
      </c>
      <c r="F22" s="722">
        <v>0</v>
      </c>
      <c r="G22" s="722">
        <v>0</v>
      </c>
      <c r="H22" s="724">
        <v>0</v>
      </c>
      <c r="I22" s="248">
        <v>10.841519269999999</v>
      </c>
      <c r="J22" s="248"/>
    </row>
    <row r="23" spans="1:10" x14ac:dyDescent="0.3">
      <c r="A23" s="720" t="s">
        <v>456</v>
      </c>
      <c r="B23" s="721">
        <v>64614</v>
      </c>
      <c r="C23" s="721">
        <v>64614</v>
      </c>
      <c r="D23" s="722">
        <v>0</v>
      </c>
      <c r="E23" s="723">
        <v>16340.88</v>
      </c>
      <c r="F23" s="722">
        <v>0</v>
      </c>
      <c r="G23" s="722">
        <v>0</v>
      </c>
      <c r="H23" s="724">
        <v>0</v>
      </c>
      <c r="I23" s="248">
        <v>16.340880599999998</v>
      </c>
      <c r="J23" s="248"/>
    </row>
    <row r="24" spans="1:10" x14ac:dyDescent="0.3">
      <c r="A24" s="720" t="s">
        <v>968</v>
      </c>
      <c r="B24" s="721">
        <v>7849</v>
      </c>
      <c r="C24" s="721">
        <v>7849</v>
      </c>
      <c r="D24" s="722">
        <v>0</v>
      </c>
      <c r="E24" s="723">
        <v>1985.06</v>
      </c>
      <c r="F24" s="722">
        <v>0</v>
      </c>
      <c r="G24" s="722">
        <v>0</v>
      </c>
      <c r="H24" s="724">
        <v>0</v>
      </c>
      <c r="I24" s="248">
        <v>1.98506268</v>
      </c>
      <c r="J24" s="248"/>
    </row>
    <row r="25" spans="1:10" x14ac:dyDescent="0.3">
      <c r="A25" s="720" t="s">
        <v>461</v>
      </c>
      <c r="B25" s="721">
        <v>298811</v>
      </c>
      <c r="C25" s="721">
        <v>298811</v>
      </c>
      <c r="D25" s="722">
        <v>0</v>
      </c>
      <c r="E25" s="723">
        <v>75569.399999999994</v>
      </c>
      <c r="F25" s="722">
        <v>0</v>
      </c>
      <c r="G25" s="722">
        <v>0</v>
      </c>
      <c r="H25" s="724">
        <v>0</v>
      </c>
      <c r="I25" s="248">
        <v>75.569403089999994</v>
      </c>
      <c r="J25" s="248"/>
    </row>
    <row r="26" spans="1:10" x14ac:dyDescent="0.3">
      <c r="A26" s="720" t="s">
        <v>462</v>
      </c>
      <c r="B26" s="721">
        <v>249675</v>
      </c>
      <c r="C26" s="721">
        <v>249675</v>
      </c>
      <c r="D26" s="722">
        <v>0</v>
      </c>
      <c r="E26" s="723">
        <v>63142.85</v>
      </c>
      <c r="F26" s="722">
        <v>0</v>
      </c>
      <c r="G26" s="722">
        <v>0</v>
      </c>
      <c r="H26" s="724">
        <v>0</v>
      </c>
      <c r="I26" s="248">
        <v>63.142847889999999</v>
      </c>
      <c r="J26" s="248"/>
    </row>
    <row r="27" spans="1:10" x14ac:dyDescent="0.3">
      <c r="A27" s="720" t="s">
        <v>500</v>
      </c>
      <c r="B27" s="721">
        <v>886988</v>
      </c>
      <c r="C27" s="721">
        <v>886988</v>
      </c>
      <c r="D27" s="722">
        <v>0</v>
      </c>
      <c r="E27" s="723">
        <v>224319.33</v>
      </c>
      <c r="F27" s="722">
        <v>0</v>
      </c>
      <c r="G27" s="722">
        <v>0</v>
      </c>
      <c r="H27" s="724">
        <v>0</v>
      </c>
      <c r="I27" s="248">
        <v>224.3193316</v>
      </c>
      <c r="J27" s="248"/>
    </row>
    <row r="28" spans="1:10" x14ac:dyDescent="0.3">
      <c r="A28" s="720" t="s">
        <v>837</v>
      </c>
      <c r="B28" s="721">
        <v>117392</v>
      </c>
      <c r="C28" s="721">
        <v>117392</v>
      </c>
      <c r="D28" s="722">
        <v>0</v>
      </c>
      <c r="E28" s="723">
        <v>29688.44</v>
      </c>
      <c r="F28" s="722">
        <v>0</v>
      </c>
      <c r="G28" s="722">
        <v>0</v>
      </c>
      <c r="H28" s="724">
        <v>0</v>
      </c>
      <c r="I28" s="248">
        <v>29.688436800000002</v>
      </c>
      <c r="J28" s="248"/>
    </row>
    <row r="29" spans="1:10" x14ac:dyDescent="0.3">
      <c r="A29" s="720"/>
      <c r="B29" s="722"/>
      <c r="C29" s="722"/>
      <c r="D29" s="722"/>
      <c r="E29" s="722"/>
      <c r="F29" s="722"/>
      <c r="G29" s="722"/>
      <c r="H29" s="724" t="s">
        <v>969</v>
      </c>
      <c r="I29" s="725">
        <v>698.49555789999999</v>
      </c>
      <c r="J29" s="725" t="s">
        <v>950</v>
      </c>
    </row>
    <row r="30" spans="1:10" x14ac:dyDescent="0.3">
      <c r="A30" s="720"/>
      <c r="B30" s="722"/>
      <c r="C30" s="722"/>
      <c r="D30" s="722"/>
      <c r="E30" s="722"/>
      <c r="F30" s="722"/>
      <c r="G30" s="722"/>
      <c r="H30" s="724" t="s">
        <v>970</v>
      </c>
      <c r="I30" s="248">
        <v>687.65403860000004</v>
      </c>
      <c r="J30" s="725" t="s">
        <v>950</v>
      </c>
    </row>
    <row r="31" spans="1:10" x14ac:dyDescent="0.3">
      <c r="A31" s="727"/>
      <c r="B31" s="492" t="s">
        <v>971</v>
      </c>
      <c r="C31" s="722"/>
      <c r="D31" s="722"/>
      <c r="E31" s="722"/>
      <c r="F31" s="722"/>
      <c r="G31" s="722"/>
      <c r="H31" s="724"/>
      <c r="I31" s="248"/>
      <c r="J31" s="248"/>
    </row>
    <row r="32" spans="1:10" x14ac:dyDescent="0.3">
      <c r="A32" s="720" t="s">
        <v>453</v>
      </c>
      <c r="B32" s="721">
        <v>264603</v>
      </c>
      <c r="C32" s="722"/>
      <c r="D32" s="722"/>
      <c r="E32" s="722"/>
      <c r="F32" s="722"/>
      <c r="G32" s="722"/>
      <c r="H32" s="724"/>
      <c r="I32" s="248"/>
      <c r="J32" s="248"/>
    </row>
    <row r="33" spans="1:10" x14ac:dyDescent="0.3">
      <c r="A33" s="720" t="s">
        <v>497</v>
      </c>
      <c r="B33" s="721">
        <v>438886</v>
      </c>
      <c r="C33" s="722"/>
      <c r="D33" s="722"/>
      <c r="E33" s="722"/>
      <c r="F33" s="722"/>
      <c r="G33" s="722"/>
      <c r="H33" s="724"/>
      <c r="I33" s="248"/>
      <c r="J33" s="248"/>
    </row>
    <row r="34" spans="1:10" x14ac:dyDescent="0.3">
      <c r="A34" s="720" t="s">
        <v>502</v>
      </c>
      <c r="B34" s="721">
        <v>197350</v>
      </c>
      <c r="C34" s="722"/>
      <c r="D34" s="722"/>
      <c r="E34" s="722"/>
      <c r="F34" s="722"/>
      <c r="G34" s="722"/>
      <c r="H34" s="724"/>
      <c r="I34" s="248"/>
      <c r="J34" s="248"/>
    </row>
    <row r="35" spans="1:10" x14ac:dyDescent="0.3">
      <c r="A35" s="720" t="s">
        <v>499</v>
      </c>
      <c r="B35" s="721">
        <v>186524</v>
      </c>
      <c r="C35" s="722"/>
      <c r="D35" s="722"/>
      <c r="E35" s="722"/>
      <c r="F35" s="722"/>
      <c r="G35" s="722"/>
      <c r="H35" s="724"/>
      <c r="I35" s="248"/>
      <c r="J35" s="248"/>
    </row>
    <row r="36" spans="1:10" x14ac:dyDescent="0.3">
      <c r="A36" s="720" t="s">
        <v>463</v>
      </c>
      <c r="B36" s="721">
        <v>6381</v>
      </c>
      <c r="C36" s="722"/>
      <c r="D36" s="722"/>
      <c r="E36" s="722"/>
      <c r="F36" s="722"/>
      <c r="G36" s="722"/>
      <c r="H36" s="724"/>
      <c r="I36" s="248"/>
      <c r="J36" s="248"/>
    </row>
    <row r="37" spans="1:10" x14ac:dyDescent="0.3">
      <c r="A37" s="720" t="s">
        <v>460</v>
      </c>
      <c r="B37" s="721">
        <v>42869</v>
      </c>
      <c r="C37" s="722"/>
      <c r="D37" s="722"/>
      <c r="E37" s="722"/>
      <c r="F37" s="722"/>
      <c r="G37" s="722"/>
      <c r="H37" s="724"/>
      <c r="I37" s="248"/>
      <c r="J37" s="248"/>
    </row>
    <row r="38" spans="1:10" x14ac:dyDescent="0.3">
      <c r="A38" s="720" t="s">
        <v>456</v>
      </c>
      <c r="B38" s="721">
        <v>64614</v>
      </c>
      <c r="C38" s="722"/>
      <c r="D38" s="722"/>
      <c r="E38" s="722"/>
      <c r="F38" s="722"/>
      <c r="G38" s="722"/>
      <c r="H38" s="724"/>
      <c r="I38" s="248"/>
      <c r="J38" s="248"/>
    </row>
    <row r="39" spans="1:10" x14ac:dyDescent="0.3">
      <c r="A39" s="720" t="s">
        <v>968</v>
      </c>
      <c r="B39" s="721">
        <v>7849</v>
      </c>
      <c r="C39" s="722"/>
      <c r="D39" s="722"/>
      <c r="E39" s="722"/>
      <c r="F39" s="722"/>
      <c r="G39" s="722"/>
      <c r="H39" s="724"/>
      <c r="I39" s="248"/>
      <c r="J39" s="248"/>
    </row>
    <row r="40" spans="1:10" x14ac:dyDescent="0.3">
      <c r="A40" s="720" t="s">
        <v>461</v>
      </c>
      <c r="B40" s="721">
        <v>298811</v>
      </c>
      <c r="C40" s="722"/>
      <c r="D40" s="722"/>
      <c r="E40" s="722"/>
      <c r="F40" s="722"/>
      <c r="G40" s="722"/>
      <c r="H40" s="724"/>
      <c r="I40" s="248"/>
      <c r="J40" s="248"/>
    </row>
    <row r="41" spans="1:10" x14ac:dyDescent="0.3">
      <c r="A41" s="720" t="s">
        <v>462</v>
      </c>
      <c r="B41" s="721">
        <v>249675</v>
      </c>
      <c r="C41" s="722"/>
      <c r="D41" s="722"/>
      <c r="E41" s="722"/>
      <c r="F41" s="722"/>
      <c r="G41" s="722"/>
      <c r="H41" s="724"/>
      <c r="I41" s="248"/>
      <c r="J41" s="248"/>
    </row>
    <row r="42" spans="1:10" x14ac:dyDescent="0.3">
      <c r="A42" s="720" t="s">
        <v>500</v>
      </c>
      <c r="B42" s="721">
        <v>886988</v>
      </c>
      <c r="C42" s="722"/>
      <c r="D42" s="722"/>
      <c r="E42" s="722"/>
      <c r="F42" s="722"/>
      <c r="G42" s="722"/>
      <c r="H42" s="724"/>
      <c r="I42" s="248"/>
      <c r="J42" s="248"/>
    </row>
    <row r="43" spans="1:10" x14ac:dyDescent="0.3">
      <c r="A43" s="720" t="s">
        <v>837</v>
      </c>
      <c r="B43" s="721">
        <v>117392</v>
      </c>
      <c r="C43" s="722"/>
      <c r="D43" s="722"/>
      <c r="E43" s="722"/>
      <c r="F43" s="722"/>
      <c r="G43" s="722"/>
      <c r="H43" s="724"/>
      <c r="I43" s="248"/>
      <c r="J43" s="248"/>
    </row>
    <row r="44" spans="1:10" x14ac:dyDescent="0.3">
      <c r="A44" s="720"/>
      <c r="B44" s="494">
        <f>SUM(B32:B43)</f>
        <v>2761942</v>
      </c>
      <c r="C44" s="726" t="s">
        <v>972</v>
      </c>
      <c r="D44" s="722"/>
      <c r="E44" s="722"/>
      <c r="F44" s="722"/>
      <c r="G44" s="722"/>
      <c r="H44" s="724"/>
      <c r="I44" s="248"/>
      <c r="J44" s="248"/>
    </row>
    <row r="45" spans="1:10" x14ac:dyDescent="0.3">
      <c r="A45" s="720"/>
      <c r="B45" s="722"/>
      <c r="C45" s="722"/>
      <c r="D45" s="722"/>
      <c r="E45" s="722"/>
      <c r="F45" s="722"/>
      <c r="G45" s="722"/>
      <c r="H45" s="724"/>
      <c r="I45" s="248"/>
      <c r="J45" s="248"/>
    </row>
    <row r="48" spans="1:10" x14ac:dyDescent="0.3">
      <c r="A48" s="710" t="s">
        <v>973</v>
      </c>
    </row>
    <row r="49" spans="1:8" ht="46.2" customHeight="1" x14ac:dyDescent="0.3">
      <c r="A49" s="711" t="s">
        <v>959</v>
      </c>
      <c r="B49" s="711" t="s">
        <v>974</v>
      </c>
      <c r="C49" s="711" t="s">
        <v>975</v>
      </c>
      <c r="D49" s="711" t="s">
        <v>976</v>
      </c>
      <c r="E49" s="711" t="s">
        <v>977</v>
      </c>
      <c r="F49" s="711" t="s">
        <v>978</v>
      </c>
      <c r="G49" s="711" t="s">
        <v>979</v>
      </c>
      <c r="H49" t="s">
        <v>980</v>
      </c>
    </row>
    <row r="50" spans="1:8" x14ac:dyDescent="0.3">
      <c r="A50" s="197" t="s">
        <v>453</v>
      </c>
      <c r="B50" s="712">
        <v>45658</v>
      </c>
      <c r="C50" s="713">
        <v>17454.915999999997</v>
      </c>
      <c r="D50" s="713">
        <v>17454.915999999997</v>
      </c>
      <c r="E50" s="713">
        <v>0</v>
      </c>
      <c r="F50" s="713"/>
      <c r="G50" s="713"/>
    </row>
    <row r="51" spans="1:8" x14ac:dyDescent="0.3">
      <c r="A51" s="197" t="s">
        <v>453</v>
      </c>
      <c r="B51" s="712">
        <v>45689</v>
      </c>
      <c r="C51" s="713">
        <v>17454.915999999997</v>
      </c>
      <c r="D51" s="713">
        <v>17454.915999999997</v>
      </c>
      <c r="E51" s="713">
        <v>0</v>
      </c>
      <c r="F51" s="713"/>
      <c r="G51" s="713"/>
    </row>
    <row r="52" spans="1:8" x14ac:dyDescent="0.3">
      <c r="A52" s="197" t="s">
        <v>453</v>
      </c>
      <c r="B52" s="712">
        <v>45717</v>
      </c>
      <c r="C52" s="713">
        <v>20679.915999999997</v>
      </c>
      <c r="D52" s="713">
        <v>20679.915999999997</v>
      </c>
      <c r="E52" s="713">
        <v>0</v>
      </c>
      <c r="F52" s="713"/>
      <c r="G52" s="713"/>
    </row>
    <row r="53" spans="1:8" x14ac:dyDescent="0.3">
      <c r="A53" s="197" t="s">
        <v>453</v>
      </c>
      <c r="B53" s="712">
        <v>45748</v>
      </c>
      <c r="C53" s="713">
        <v>20679.915999999997</v>
      </c>
      <c r="D53" s="713">
        <v>20679.915999999997</v>
      </c>
      <c r="E53" s="713">
        <v>0</v>
      </c>
      <c r="F53" s="713"/>
      <c r="G53" s="713"/>
    </row>
    <row r="54" spans="1:8" x14ac:dyDescent="0.3">
      <c r="A54" s="197" t="s">
        <v>453</v>
      </c>
      <c r="B54" s="712">
        <v>45778</v>
      </c>
      <c r="C54" s="713">
        <v>20379.915999999997</v>
      </c>
      <c r="D54" s="713">
        <v>20379.915999999997</v>
      </c>
      <c r="E54" s="713">
        <v>0</v>
      </c>
      <c r="F54" s="713"/>
      <c r="G54" s="713"/>
    </row>
    <row r="55" spans="1:8" x14ac:dyDescent="0.3">
      <c r="A55" s="197" t="s">
        <v>453</v>
      </c>
      <c r="B55" s="712">
        <v>45809</v>
      </c>
      <c r="C55" s="713">
        <v>20379.915999999997</v>
      </c>
      <c r="D55" s="713">
        <v>20379.915999999997</v>
      </c>
      <c r="E55" s="713">
        <v>0</v>
      </c>
      <c r="F55" s="713"/>
      <c r="G55" s="713"/>
    </row>
    <row r="56" spans="1:8" x14ac:dyDescent="0.3">
      <c r="A56" s="197" t="s">
        <v>453</v>
      </c>
      <c r="B56" s="712">
        <v>45839</v>
      </c>
      <c r="C56" s="713">
        <v>20954.915999999997</v>
      </c>
      <c r="D56" s="713">
        <v>20954.915999999997</v>
      </c>
      <c r="E56" s="713">
        <v>0</v>
      </c>
      <c r="F56" s="713"/>
      <c r="G56" s="713"/>
    </row>
    <row r="57" spans="1:8" x14ac:dyDescent="0.3">
      <c r="A57" s="197" t="s">
        <v>453</v>
      </c>
      <c r="B57" s="712">
        <v>45870</v>
      </c>
      <c r="C57" s="713">
        <v>20954.915999999997</v>
      </c>
      <c r="D57" s="713">
        <v>20954.915999999997</v>
      </c>
      <c r="E57" s="713">
        <v>0</v>
      </c>
      <c r="F57" s="713"/>
      <c r="G57" s="713"/>
    </row>
    <row r="58" spans="1:8" x14ac:dyDescent="0.3">
      <c r="A58" s="197" t="s">
        <v>453</v>
      </c>
      <c r="B58" s="712">
        <v>45901</v>
      </c>
      <c r="C58" s="713">
        <v>18654.915999999997</v>
      </c>
      <c r="D58" s="713">
        <v>18654.915999999997</v>
      </c>
      <c r="E58" s="713">
        <v>0</v>
      </c>
      <c r="F58" s="713"/>
      <c r="G58" s="713"/>
    </row>
    <row r="59" spans="1:8" x14ac:dyDescent="0.3">
      <c r="A59" s="197" t="s">
        <v>453</v>
      </c>
      <c r="B59" s="712">
        <v>45931</v>
      </c>
      <c r="C59" s="713">
        <v>18654.915999999997</v>
      </c>
      <c r="D59" s="713">
        <v>18654.915999999997</v>
      </c>
      <c r="E59" s="713">
        <v>0</v>
      </c>
      <c r="F59" s="713"/>
      <c r="G59" s="713"/>
    </row>
    <row r="60" spans="1:8" x14ac:dyDescent="0.3">
      <c r="A60" s="197" t="s">
        <v>453</v>
      </c>
      <c r="B60" s="712">
        <v>45962</v>
      </c>
      <c r="C60" s="713">
        <v>23329.915999999997</v>
      </c>
      <c r="D60" s="713">
        <v>23329.915999999997</v>
      </c>
      <c r="E60" s="713">
        <v>0</v>
      </c>
      <c r="F60" s="713"/>
      <c r="G60" s="713"/>
    </row>
    <row r="61" spans="1:8" x14ac:dyDescent="0.3">
      <c r="A61" s="197" t="s">
        <v>453</v>
      </c>
      <c r="B61" s="712">
        <v>45992</v>
      </c>
      <c r="C61" s="713">
        <v>23329.915999999997</v>
      </c>
      <c r="D61" s="713">
        <v>23329.915999999997</v>
      </c>
      <c r="E61" s="713">
        <v>0</v>
      </c>
      <c r="F61" s="713">
        <v>242908.99199999997</v>
      </c>
      <c r="G61" s="713">
        <v>242908.99199999997</v>
      </c>
    </row>
    <row r="62" spans="1:8" x14ac:dyDescent="0.3">
      <c r="A62" s="197" t="s">
        <v>981</v>
      </c>
      <c r="B62" s="712">
        <v>45658</v>
      </c>
      <c r="C62" s="713">
        <v>118390</v>
      </c>
      <c r="D62" s="713">
        <v>118390</v>
      </c>
      <c r="E62" s="713">
        <v>0</v>
      </c>
      <c r="F62" s="713"/>
      <c r="G62" s="713"/>
    </row>
    <row r="63" spans="1:8" x14ac:dyDescent="0.3">
      <c r="A63" s="197" t="s">
        <v>981</v>
      </c>
      <c r="B63" s="712">
        <v>45689</v>
      </c>
      <c r="C63" s="713">
        <v>81460</v>
      </c>
      <c r="D63" s="713">
        <v>81460</v>
      </c>
      <c r="E63" s="713">
        <v>0</v>
      </c>
      <c r="F63" s="713"/>
      <c r="G63" s="713"/>
    </row>
    <row r="64" spans="1:8" x14ac:dyDescent="0.3">
      <c r="A64" s="197" t="s">
        <v>981</v>
      </c>
      <c r="B64" s="712">
        <v>45717</v>
      </c>
      <c r="C64" s="713">
        <v>98990</v>
      </c>
      <c r="D64" s="713">
        <v>98990</v>
      </c>
      <c r="E64" s="713">
        <v>0</v>
      </c>
      <c r="F64" s="713"/>
      <c r="G64" s="713"/>
    </row>
    <row r="65" spans="1:7" x14ac:dyDescent="0.3">
      <c r="A65" s="197" t="s">
        <v>981</v>
      </c>
      <c r="B65" s="712">
        <v>45748</v>
      </c>
      <c r="C65" s="713">
        <v>101540</v>
      </c>
      <c r="D65" s="713">
        <v>101540</v>
      </c>
      <c r="E65" s="713">
        <v>0</v>
      </c>
      <c r="F65" s="713"/>
      <c r="G65" s="713"/>
    </row>
    <row r="66" spans="1:7" x14ac:dyDescent="0.3">
      <c r="A66" s="197" t="s">
        <v>981</v>
      </c>
      <c r="B66" s="712">
        <v>45778</v>
      </c>
      <c r="C66" s="713">
        <v>93050</v>
      </c>
      <c r="D66" s="713">
        <v>93050</v>
      </c>
      <c r="E66" s="713">
        <v>0</v>
      </c>
      <c r="F66" s="713"/>
      <c r="G66" s="713"/>
    </row>
    <row r="67" spans="1:7" x14ac:dyDescent="0.3">
      <c r="A67" s="197" t="s">
        <v>981</v>
      </c>
      <c r="B67" s="712">
        <v>45809</v>
      </c>
      <c r="C67" s="713">
        <v>107860</v>
      </c>
      <c r="D67" s="713">
        <v>107860</v>
      </c>
      <c r="E67" s="713">
        <v>0</v>
      </c>
      <c r="F67" s="713"/>
      <c r="G67" s="713"/>
    </row>
    <row r="68" spans="1:7" x14ac:dyDescent="0.3">
      <c r="A68" s="197" t="s">
        <v>981</v>
      </c>
      <c r="B68" s="712">
        <v>45839</v>
      </c>
      <c r="C68" s="713">
        <v>98670</v>
      </c>
      <c r="D68" s="713">
        <v>98670</v>
      </c>
      <c r="E68" s="713">
        <v>0</v>
      </c>
      <c r="F68" s="713"/>
      <c r="G68" s="713"/>
    </row>
    <row r="69" spans="1:7" x14ac:dyDescent="0.3">
      <c r="A69" s="197" t="s">
        <v>981</v>
      </c>
      <c r="B69" s="712">
        <v>45870</v>
      </c>
      <c r="C69" s="713">
        <v>127725.08</v>
      </c>
      <c r="D69" s="713">
        <v>127725.08</v>
      </c>
      <c r="E69" s="713">
        <v>0</v>
      </c>
      <c r="F69" s="713"/>
      <c r="G69" s="713"/>
    </row>
    <row r="70" spans="1:7" x14ac:dyDescent="0.3">
      <c r="A70" s="197" t="s">
        <v>981</v>
      </c>
      <c r="B70" s="712">
        <v>45901</v>
      </c>
      <c r="C70" s="713">
        <v>104583.01</v>
      </c>
      <c r="D70" s="713">
        <v>104583.01</v>
      </c>
      <c r="E70" s="713">
        <v>0</v>
      </c>
      <c r="F70" s="713"/>
      <c r="G70" s="713"/>
    </row>
    <row r="71" spans="1:7" x14ac:dyDescent="0.3">
      <c r="A71" s="197" t="s">
        <v>981</v>
      </c>
      <c r="B71" s="712">
        <v>45931</v>
      </c>
      <c r="C71" s="713">
        <v>118691.92000000001</v>
      </c>
      <c r="D71" s="713">
        <v>118691.92000000001</v>
      </c>
      <c r="E71" s="713">
        <v>0</v>
      </c>
      <c r="F71" s="713"/>
      <c r="G71" s="713"/>
    </row>
    <row r="72" spans="1:7" x14ac:dyDescent="0.3">
      <c r="A72" s="197" t="s">
        <v>981</v>
      </c>
      <c r="B72" s="712">
        <v>45962</v>
      </c>
      <c r="C72" s="713">
        <v>123304.90000000002</v>
      </c>
      <c r="D72" s="713">
        <v>123304.90000000002</v>
      </c>
      <c r="E72" s="713">
        <v>0</v>
      </c>
      <c r="F72" s="713"/>
      <c r="G72" s="713"/>
    </row>
    <row r="73" spans="1:7" x14ac:dyDescent="0.3">
      <c r="A73" s="197" t="s">
        <v>981</v>
      </c>
      <c r="B73" s="712">
        <v>45992</v>
      </c>
      <c r="C73" s="713">
        <v>85920.739999999991</v>
      </c>
      <c r="D73" s="713">
        <v>85920.739999999991</v>
      </c>
      <c r="E73" s="713">
        <v>0</v>
      </c>
      <c r="F73" s="713">
        <v>1260185.6500000001</v>
      </c>
      <c r="G73" s="713">
        <v>1260185.6500000001</v>
      </c>
    </row>
    <row r="74" spans="1:7" x14ac:dyDescent="0.3">
      <c r="A74" s="197" t="s">
        <v>497</v>
      </c>
      <c r="B74" s="712">
        <v>45658</v>
      </c>
      <c r="C74" s="713">
        <v>86126.07</v>
      </c>
      <c r="D74" s="713">
        <v>86126.07</v>
      </c>
      <c r="E74" s="713">
        <v>0</v>
      </c>
      <c r="F74" s="713"/>
      <c r="G74" s="713"/>
    </row>
    <row r="75" spans="1:7" x14ac:dyDescent="0.3">
      <c r="A75" s="197" t="s">
        <v>497</v>
      </c>
      <c r="B75" s="712">
        <v>45689</v>
      </c>
      <c r="C75" s="713">
        <v>77985.61</v>
      </c>
      <c r="D75" s="713">
        <v>77985.61</v>
      </c>
      <c r="E75" s="713">
        <v>0</v>
      </c>
      <c r="F75" s="713"/>
      <c r="G75" s="713"/>
    </row>
    <row r="76" spans="1:7" x14ac:dyDescent="0.3">
      <c r="A76" s="197" t="s">
        <v>497</v>
      </c>
      <c r="B76" s="712">
        <v>45717</v>
      </c>
      <c r="C76" s="713">
        <v>82962.86</v>
      </c>
      <c r="D76" s="713">
        <v>82962.86</v>
      </c>
      <c r="E76" s="713">
        <v>0</v>
      </c>
      <c r="F76" s="713"/>
      <c r="G76" s="713"/>
    </row>
    <row r="77" spans="1:7" x14ac:dyDescent="0.3">
      <c r="A77" s="197" t="s">
        <v>497</v>
      </c>
      <c r="B77" s="712">
        <v>45748</v>
      </c>
      <c r="C77" s="713">
        <v>81266.080000000002</v>
      </c>
      <c r="D77" s="713">
        <v>81266.080000000002</v>
      </c>
      <c r="E77" s="713">
        <v>0</v>
      </c>
      <c r="F77" s="713"/>
      <c r="G77" s="713"/>
    </row>
    <row r="78" spans="1:7" x14ac:dyDescent="0.3">
      <c r="A78" s="197" t="s">
        <v>497</v>
      </c>
      <c r="B78" s="712">
        <v>45778</v>
      </c>
      <c r="C78" s="713">
        <v>83725.39</v>
      </c>
      <c r="D78" s="713">
        <v>83725.39</v>
      </c>
      <c r="E78" s="713">
        <v>0</v>
      </c>
      <c r="F78" s="713"/>
      <c r="G78" s="713"/>
    </row>
    <row r="79" spans="1:7" x14ac:dyDescent="0.3">
      <c r="A79" s="197" t="s">
        <v>497</v>
      </c>
      <c r="B79" s="712">
        <v>45809</v>
      </c>
      <c r="C79" s="713">
        <v>82383.75</v>
      </c>
      <c r="D79" s="713">
        <v>82383.75</v>
      </c>
      <c r="E79" s="713">
        <v>0</v>
      </c>
      <c r="F79" s="713"/>
      <c r="G79" s="713"/>
    </row>
    <row r="80" spans="1:7" x14ac:dyDescent="0.3">
      <c r="A80" s="197" t="s">
        <v>497</v>
      </c>
      <c r="B80" s="712">
        <v>45839</v>
      </c>
      <c r="C80" s="713">
        <v>88086.78</v>
      </c>
      <c r="D80" s="713">
        <v>88086.78</v>
      </c>
      <c r="E80" s="713">
        <v>0</v>
      </c>
      <c r="F80" s="713"/>
      <c r="G80" s="713"/>
    </row>
    <row r="81" spans="1:7" x14ac:dyDescent="0.3">
      <c r="A81" s="197" t="s">
        <v>497</v>
      </c>
      <c r="B81" s="712">
        <v>45870</v>
      </c>
      <c r="C81" s="713">
        <v>84556.25</v>
      </c>
      <c r="D81" s="713">
        <v>84556.25</v>
      </c>
      <c r="E81" s="713">
        <v>0</v>
      </c>
      <c r="F81" s="713"/>
      <c r="G81" s="713"/>
    </row>
    <row r="82" spans="1:7" x14ac:dyDescent="0.3">
      <c r="A82" s="197" t="s">
        <v>497</v>
      </c>
      <c r="B82" s="712">
        <v>45901</v>
      </c>
      <c r="C82" s="713">
        <v>85125.260000000009</v>
      </c>
      <c r="D82" s="713">
        <v>85125.260000000009</v>
      </c>
      <c r="E82" s="713">
        <v>0</v>
      </c>
      <c r="F82" s="713"/>
      <c r="G82" s="713"/>
    </row>
    <row r="83" spans="1:7" x14ac:dyDescent="0.3">
      <c r="A83" s="197" t="s">
        <v>497</v>
      </c>
      <c r="B83" s="712">
        <v>45931</v>
      </c>
      <c r="C83" s="713">
        <v>88362.75</v>
      </c>
      <c r="D83" s="713">
        <v>88362.75</v>
      </c>
      <c r="E83" s="713">
        <v>0</v>
      </c>
      <c r="F83" s="713"/>
      <c r="G83" s="713"/>
    </row>
    <row r="84" spans="1:7" x14ac:dyDescent="0.3">
      <c r="A84" s="197" t="s">
        <v>497</v>
      </c>
      <c r="B84" s="712">
        <v>45962</v>
      </c>
      <c r="C84" s="713">
        <v>82756.432499999995</v>
      </c>
      <c r="D84" s="713">
        <v>82756.432499999995</v>
      </c>
      <c r="E84" s="713">
        <v>0</v>
      </c>
      <c r="F84" s="713"/>
      <c r="G84" s="713"/>
    </row>
    <row r="85" spans="1:7" x14ac:dyDescent="0.3">
      <c r="A85" s="197" t="s">
        <v>497</v>
      </c>
      <c r="B85" s="712">
        <v>45992</v>
      </c>
      <c r="C85" s="713">
        <v>81966.834375000006</v>
      </c>
      <c r="D85" s="713">
        <v>81966.834375000006</v>
      </c>
      <c r="E85" s="713">
        <v>0</v>
      </c>
      <c r="F85" s="713">
        <v>1005304.066875</v>
      </c>
      <c r="G85" s="713">
        <v>1005304.066875</v>
      </c>
    </row>
    <row r="86" spans="1:7" x14ac:dyDescent="0.3">
      <c r="A86" s="197" t="s">
        <v>502</v>
      </c>
      <c r="B86" s="712">
        <v>45658</v>
      </c>
      <c r="C86" s="713">
        <v>66460.479999999996</v>
      </c>
      <c r="D86" s="713">
        <v>66460.479999999996</v>
      </c>
      <c r="E86" s="713">
        <v>0</v>
      </c>
      <c r="F86" s="713"/>
      <c r="G86" s="713"/>
    </row>
    <row r="87" spans="1:7" x14ac:dyDescent="0.3">
      <c r="A87" s="197" t="s">
        <v>502</v>
      </c>
      <c r="B87" s="712">
        <v>45689</v>
      </c>
      <c r="C87" s="713">
        <v>56659.520000000004</v>
      </c>
      <c r="D87" s="713">
        <v>56659.520000000004</v>
      </c>
      <c r="E87" s="713">
        <v>0</v>
      </c>
      <c r="F87" s="713"/>
      <c r="G87" s="713"/>
    </row>
    <row r="88" spans="1:7" x14ac:dyDescent="0.3">
      <c r="A88" s="197" t="s">
        <v>502</v>
      </c>
      <c r="B88" s="712">
        <v>45717</v>
      </c>
      <c r="C88" s="713">
        <v>57564.3</v>
      </c>
      <c r="D88" s="713">
        <v>57564.3</v>
      </c>
      <c r="E88" s="713">
        <v>0</v>
      </c>
      <c r="F88" s="713"/>
      <c r="G88" s="713"/>
    </row>
    <row r="89" spans="1:7" x14ac:dyDescent="0.3">
      <c r="A89" s="197" t="s">
        <v>502</v>
      </c>
      <c r="B89" s="712">
        <v>45748</v>
      </c>
      <c r="C89" s="713">
        <v>61533.7</v>
      </c>
      <c r="D89" s="713">
        <v>61533.7</v>
      </c>
      <c r="E89" s="713">
        <v>0</v>
      </c>
      <c r="F89" s="713"/>
      <c r="G89" s="713"/>
    </row>
    <row r="90" spans="1:7" x14ac:dyDescent="0.3">
      <c r="A90" s="197" t="s">
        <v>502</v>
      </c>
      <c r="B90" s="712">
        <v>45778</v>
      </c>
      <c r="C90" s="713">
        <v>56606.880000000005</v>
      </c>
      <c r="D90" s="713">
        <v>56606.880000000005</v>
      </c>
      <c r="E90" s="713">
        <v>0</v>
      </c>
      <c r="F90" s="713"/>
      <c r="G90" s="713"/>
    </row>
    <row r="91" spans="1:7" x14ac:dyDescent="0.3">
      <c r="A91" s="197" t="s">
        <v>502</v>
      </c>
      <c r="B91" s="712">
        <v>45809</v>
      </c>
      <c r="C91" s="713">
        <v>58850.119999999995</v>
      </c>
      <c r="D91" s="713">
        <v>58850.119999999995</v>
      </c>
      <c r="E91" s="713">
        <v>0</v>
      </c>
      <c r="F91" s="713"/>
      <c r="G91" s="713"/>
    </row>
    <row r="92" spans="1:7" x14ac:dyDescent="0.3">
      <c r="A92" s="197" t="s">
        <v>502</v>
      </c>
      <c r="B92" s="712">
        <v>45839</v>
      </c>
      <c r="C92" s="713">
        <v>56124</v>
      </c>
      <c r="D92" s="713">
        <v>56124</v>
      </c>
      <c r="E92" s="713">
        <v>0</v>
      </c>
      <c r="F92" s="713"/>
      <c r="G92" s="713"/>
    </row>
    <row r="93" spans="1:7" x14ac:dyDescent="0.3">
      <c r="A93" s="197" t="s">
        <v>502</v>
      </c>
      <c r="B93" s="712">
        <v>45870</v>
      </c>
      <c r="C93" s="713">
        <v>62401</v>
      </c>
      <c r="D93" s="713">
        <v>62401</v>
      </c>
      <c r="E93" s="713">
        <v>0</v>
      </c>
      <c r="F93" s="713"/>
      <c r="G93" s="713"/>
    </row>
    <row r="94" spans="1:7" x14ac:dyDescent="0.3">
      <c r="A94" s="197" t="s">
        <v>502</v>
      </c>
      <c r="B94" s="712">
        <v>45901</v>
      </c>
      <c r="C94" s="713">
        <v>54063</v>
      </c>
      <c r="D94" s="713">
        <v>54063</v>
      </c>
      <c r="E94" s="713">
        <v>0</v>
      </c>
      <c r="F94" s="713"/>
      <c r="G94" s="713"/>
    </row>
    <row r="95" spans="1:7" x14ac:dyDescent="0.3">
      <c r="A95" s="197" t="s">
        <v>502</v>
      </c>
      <c r="B95" s="712">
        <v>45931</v>
      </c>
      <c r="C95" s="713">
        <v>56490</v>
      </c>
      <c r="D95" s="713">
        <v>56490</v>
      </c>
      <c r="E95" s="713">
        <v>0</v>
      </c>
      <c r="F95" s="713"/>
      <c r="G95" s="713"/>
    </row>
    <row r="96" spans="1:7" x14ac:dyDescent="0.3">
      <c r="A96" s="197" t="s">
        <v>502</v>
      </c>
      <c r="B96" s="712">
        <v>45962</v>
      </c>
      <c r="C96" s="713">
        <v>61171</v>
      </c>
      <c r="D96" s="713">
        <v>61171</v>
      </c>
      <c r="E96" s="713">
        <v>0</v>
      </c>
      <c r="F96" s="713"/>
      <c r="G96" s="713"/>
    </row>
    <row r="97" spans="1:7" x14ac:dyDescent="0.3">
      <c r="A97" s="197" t="s">
        <v>502</v>
      </c>
      <c r="B97" s="712">
        <v>45992</v>
      </c>
      <c r="C97" s="713">
        <v>53907</v>
      </c>
      <c r="D97" s="713">
        <v>53907</v>
      </c>
      <c r="E97" s="713">
        <v>0</v>
      </c>
      <c r="F97" s="713">
        <v>701831</v>
      </c>
      <c r="G97" s="713">
        <v>701831</v>
      </c>
    </row>
    <row r="98" spans="1:7" x14ac:dyDescent="0.3">
      <c r="A98" s="197" t="s">
        <v>499</v>
      </c>
      <c r="B98" s="712">
        <v>45658</v>
      </c>
      <c r="C98" s="713">
        <v>44550</v>
      </c>
      <c r="D98" s="713">
        <v>44550</v>
      </c>
      <c r="E98" s="713">
        <v>0</v>
      </c>
      <c r="F98" s="713"/>
      <c r="G98" s="713"/>
    </row>
    <row r="99" spans="1:7" x14ac:dyDescent="0.3">
      <c r="A99" s="197" t="s">
        <v>499</v>
      </c>
      <c r="B99" s="712">
        <v>45689</v>
      </c>
      <c r="C99" s="713">
        <v>36450</v>
      </c>
      <c r="D99" s="713">
        <v>36450</v>
      </c>
      <c r="E99" s="713">
        <v>0</v>
      </c>
      <c r="F99" s="713"/>
      <c r="G99" s="713"/>
    </row>
    <row r="100" spans="1:7" x14ac:dyDescent="0.3">
      <c r="A100" s="197" t="s">
        <v>499</v>
      </c>
      <c r="B100" s="712">
        <v>45717</v>
      </c>
      <c r="C100" s="713">
        <v>38600</v>
      </c>
      <c r="D100" s="713">
        <v>38600</v>
      </c>
      <c r="E100" s="713">
        <v>0</v>
      </c>
      <c r="F100" s="713"/>
      <c r="G100" s="713"/>
    </row>
    <row r="101" spans="1:7" x14ac:dyDescent="0.3">
      <c r="A101" s="197" t="s">
        <v>499</v>
      </c>
      <c r="B101" s="712">
        <v>45748</v>
      </c>
      <c r="C101" s="713">
        <v>41000</v>
      </c>
      <c r="D101" s="713">
        <v>41000</v>
      </c>
      <c r="E101" s="713">
        <v>0</v>
      </c>
      <c r="F101" s="713"/>
      <c r="G101" s="713"/>
    </row>
    <row r="102" spans="1:7" x14ac:dyDescent="0.3">
      <c r="A102" s="197" t="s">
        <v>499</v>
      </c>
      <c r="B102" s="712">
        <v>45778</v>
      </c>
      <c r="C102" s="713">
        <v>37500</v>
      </c>
      <c r="D102" s="713">
        <v>37500</v>
      </c>
      <c r="E102" s="713">
        <v>0</v>
      </c>
      <c r="F102" s="713"/>
      <c r="G102" s="713"/>
    </row>
    <row r="103" spans="1:7" x14ac:dyDescent="0.3">
      <c r="A103" s="197" t="s">
        <v>499</v>
      </c>
      <c r="B103" s="712">
        <v>45809</v>
      </c>
      <c r="C103" s="713">
        <v>36900</v>
      </c>
      <c r="D103" s="713">
        <v>36900</v>
      </c>
      <c r="E103" s="713">
        <v>0</v>
      </c>
      <c r="F103" s="713"/>
      <c r="G103" s="713"/>
    </row>
    <row r="104" spans="1:7" x14ac:dyDescent="0.3">
      <c r="A104" s="197" t="s">
        <v>499</v>
      </c>
      <c r="B104" s="712">
        <v>45839</v>
      </c>
      <c r="C104" s="713">
        <v>38169</v>
      </c>
      <c r="D104" s="713">
        <v>38169</v>
      </c>
      <c r="E104" s="713">
        <v>0</v>
      </c>
      <c r="F104" s="713"/>
      <c r="G104" s="713"/>
    </row>
    <row r="105" spans="1:7" x14ac:dyDescent="0.3">
      <c r="A105" s="197" t="s">
        <v>499</v>
      </c>
      <c r="B105" s="712">
        <v>45870</v>
      </c>
      <c r="C105" s="713">
        <v>46450</v>
      </c>
      <c r="D105" s="713">
        <v>46450</v>
      </c>
      <c r="E105" s="713">
        <v>0</v>
      </c>
      <c r="F105" s="713"/>
      <c r="G105" s="713"/>
    </row>
    <row r="106" spans="1:7" x14ac:dyDescent="0.3">
      <c r="A106" s="197" t="s">
        <v>499</v>
      </c>
      <c r="B106" s="712">
        <v>45901</v>
      </c>
      <c r="C106" s="713">
        <v>38750</v>
      </c>
      <c r="D106" s="713">
        <v>38750</v>
      </c>
      <c r="E106" s="713">
        <v>0</v>
      </c>
      <c r="F106" s="713"/>
      <c r="G106" s="713"/>
    </row>
    <row r="107" spans="1:7" x14ac:dyDescent="0.3">
      <c r="A107" s="197" t="s">
        <v>499</v>
      </c>
      <c r="B107" s="712">
        <v>45931</v>
      </c>
      <c r="C107" s="713">
        <v>45050</v>
      </c>
      <c r="D107" s="713">
        <v>45050</v>
      </c>
      <c r="E107" s="713">
        <v>0</v>
      </c>
      <c r="F107" s="713"/>
      <c r="G107" s="713"/>
    </row>
    <row r="108" spans="1:7" x14ac:dyDescent="0.3">
      <c r="A108" s="197" t="s">
        <v>499</v>
      </c>
      <c r="B108" s="712">
        <v>45962</v>
      </c>
      <c r="C108" s="713">
        <v>41490</v>
      </c>
      <c r="D108" s="713">
        <v>41490</v>
      </c>
      <c r="E108" s="713">
        <v>0</v>
      </c>
      <c r="F108" s="713"/>
      <c r="G108" s="713"/>
    </row>
    <row r="109" spans="1:7" x14ac:dyDescent="0.3">
      <c r="A109" s="197" t="s">
        <v>499</v>
      </c>
      <c r="B109" s="712">
        <v>45992</v>
      </c>
      <c r="C109" s="713">
        <v>50497</v>
      </c>
      <c r="D109" s="713">
        <v>50497</v>
      </c>
      <c r="E109" s="713">
        <v>0</v>
      </c>
      <c r="F109" s="713">
        <v>495406</v>
      </c>
      <c r="G109" s="713">
        <v>495406</v>
      </c>
    </row>
    <row r="110" spans="1:7" x14ac:dyDescent="0.3">
      <c r="A110" s="197" t="s">
        <v>463</v>
      </c>
      <c r="B110" s="712">
        <v>45658</v>
      </c>
      <c r="C110" s="713">
        <v>413.4500732421875</v>
      </c>
      <c r="D110" s="713">
        <v>413.4500732421875</v>
      </c>
      <c r="E110" s="713">
        <v>0</v>
      </c>
      <c r="F110" s="713"/>
      <c r="G110" s="713"/>
    </row>
    <row r="111" spans="1:7" x14ac:dyDescent="0.3">
      <c r="A111" s="197" t="s">
        <v>463</v>
      </c>
      <c r="B111" s="712">
        <v>45689</v>
      </c>
      <c r="C111" s="713">
        <v>496.449951171875</v>
      </c>
      <c r="D111" s="713">
        <v>496.449951171875</v>
      </c>
      <c r="E111" s="713">
        <v>0</v>
      </c>
      <c r="F111" s="713"/>
      <c r="G111" s="713"/>
    </row>
    <row r="112" spans="1:7" x14ac:dyDescent="0.3">
      <c r="A112" s="197" t="s">
        <v>463</v>
      </c>
      <c r="B112" s="712">
        <v>45717</v>
      </c>
      <c r="C112" s="713">
        <v>492.550048828125</v>
      </c>
      <c r="D112" s="713">
        <v>492.550048828125</v>
      </c>
      <c r="E112" s="713">
        <v>0</v>
      </c>
      <c r="F112" s="713"/>
      <c r="G112" s="713"/>
    </row>
    <row r="113" spans="1:7" x14ac:dyDescent="0.3">
      <c r="A113" s="197" t="s">
        <v>463</v>
      </c>
      <c r="B113" s="712">
        <v>45748</v>
      </c>
      <c r="C113" s="713">
        <v>493.34997558593739</v>
      </c>
      <c r="D113" s="713">
        <v>493.34997558593739</v>
      </c>
      <c r="E113" s="713">
        <v>0</v>
      </c>
      <c r="F113" s="713"/>
      <c r="G113" s="713"/>
    </row>
    <row r="114" spans="1:7" x14ac:dyDescent="0.3">
      <c r="A114" s="197" t="s">
        <v>463</v>
      </c>
      <c r="B114" s="712">
        <v>45778</v>
      </c>
      <c r="C114" s="713">
        <v>530.949951171875</v>
      </c>
      <c r="D114" s="713">
        <v>530.949951171875</v>
      </c>
      <c r="E114" s="713">
        <v>0</v>
      </c>
      <c r="F114" s="713"/>
      <c r="G114" s="713"/>
    </row>
    <row r="115" spans="1:7" x14ac:dyDescent="0.3">
      <c r="A115" s="197" t="s">
        <v>463</v>
      </c>
      <c r="B115" s="712">
        <v>45809</v>
      </c>
      <c r="C115" s="713">
        <v>492.050048828125</v>
      </c>
      <c r="D115" s="713">
        <v>492.050048828125</v>
      </c>
      <c r="E115" s="713">
        <v>0</v>
      </c>
      <c r="F115" s="713"/>
      <c r="G115" s="713"/>
    </row>
    <row r="116" spans="1:7" x14ac:dyDescent="0.3">
      <c r="A116" s="197" t="s">
        <v>463</v>
      </c>
      <c r="B116" s="712">
        <v>45839</v>
      </c>
      <c r="C116" s="713">
        <v>546.550048828125</v>
      </c>
      <c r="D116" s="713">
        <v>546.550048828125</v>
      </c>
      <c r="E116" s="713">
        <v>0</v>
      </c>
      <c r="F116" s="713"/>
      <c r="G116" s="713"/>
    </row>
    <row r="117" spans="1:7" x14ac:dyDescent="0.3">
      <c r="A117" s="197" t="s">
        <v>463</v>
      </c>
      <c r="B117" s="712">
        <v>45870</v>
      </c>
      <c r="C117" s="713">
        <v>504.75</v>
      </c>
      <c r="D117" s="713">
        <v>504.75</v>
      </c>
      <c r="E117" s="713">
        <v>0</v>
      </c>
      <c r="F117" s="713"/>
      <c r="G117" s="713"/>
    </row>
    <row r="118" spans="1:7" x14ac:dyDescent="0.3">
      <c r="A118" s="197" t="s">
        <v>463</v>
      </c>
      <c r="B118" s="712">
        <v>45901</v>
      </c>
      <c r="C118" s="713">
        <v>516.55004882812455</v>
      </c>
      <c r="D118" s="713">
        <v>516.55004882812455</v>
      </c>
      <c r="E118" s="713">
        <v>0</v>
      </c>
      <c r="F118" s="713"/>
      <c r="G118" s="713"/>
    </row>
    <row r="119" spans="1:7" x14ac:dyDescent="0.3">
      <c r="A119" s="197" t="s">
        <v>463</v>
      </c>
      <c r="B119" s="712">
        <v>45931</v>
      </c>
      <c r="C119" s="713">
        <v>518.349853515625</v>
      </c>
      <c r="D119" s="713">
        <v>518.349853515625</v>
      </c>
      <c r="E119" s="713">
        <v>0</v>
      </c>
      <c r="F119" s="713"/>
      <c r="G119" s="713"/>
    </row>
    <row r="120" spans="1:7" x14ac:dyDescent="0.3">
      <c r="A120" s="197" t="s">
        <v>463</v>
      </c>
      <c r="B120" s="712">
        <v>45962</v>
      </c>
      <c r="C120" s="713">
        <v>419.550048828125</v>
      </c>
      <c r="D120" s="713">
        <v>419.550048828125</v>
      </c>
      <c r="E120" s="713">
        <v>0</v>
      </c>
      <c r="F120" s="713"/>
      <c r="G120" s="713"/>
    </row>
    <row r="121" spans="1:7" x14ac:dyDescent="0.3">
      <c r="A121" s="197" t="s">
        <v>463</v>
      </c>
      <c r="B121" s="712">
        <v>45992</v>
      </c>
      <c r="C121" s="713">
        <v>102.300048828125</v>
      </c>
      <c r="D121" s="713">
        <v>102.300048828125</v>
      </c>
      <c r="E121" s="713">
        <v>0</v>
      </c>
      <c r="F121" s="713">
        <v>5526.85009765625</v>
      </c>
      <c r="G121" s="713">
        <v>5526.85009765625</v>
      </c>
    </row>
    <row r="122" spans="1:7" x14ac:dyDescent="0.3">
      <c r="A122" s="197" t="s">
        <v>460</v>
      </c>
      <c r="B122" s="712">
        <v>45658</v>
      </c>
      <c r="C122" s="713">
        <v>13734</v>
      </c>
      <c r="D122" s="713">
        <v>13734</v>
      </c>
      <c r="E122" s="713">
        <v>0</v>
      </c>
      <c r="F122" s="713"/>
      <c r="G122" s="713"/>
    </row>
    <row r="123" spans="1:7" x14ac:dyDescent="0.3">
      <c r="A123" s="197" t="s">
        <v>460</v>
      </c>
      <c r="B123" s="712">
        <v>45689</v>
      </c>
      <c r="C123" s="713">
        <v>11579</v>
      </c>
      <c r="D123" s="713">
        <v>11579</v>
      </c>
      <c r="E123" s="713">
        <v>0</v>
      </c>
      <c r="F123" s="713"/>
      <c r="G123" s="713"/>
    </row>
    <row r="124" spans="1:7" x14ac:dyDescent="0.3">
      <c r="A124" s="197" t="s">
        <v>460</v>
      </c>
      <c r="B124" s="712">
        <v>45717</v>
      </c>
      <c r="C124" s="713">
        <v>13092</v>
      </c>
      <c r="D124" s="713">
        <v>13092</v>
      </c>
      <c r="E124" s="713">
        <v>0</v>
      </c>
      <c r="F124" s="713">
        <f>SUM(C122:C124)</f>
        <v>38405</v>
      </c>
      <c r="G124" s="713">
        <f>SUM(D122:D124)</f>
        <v>38405</v>
      </c>
    </row>
    <row r="125" spans="1:7" x14ac:dyDescent="0.3">
      <c r="A125" s="501" t="s">
        <v>456</v>
      </c>
      <c r="B125" s="714">
        <v>45658</v>
      </c>
      <c r="C125" s="715">
        <v>10260.75</v>
      </c>
      <c r="D125" s="715">
        <v>10260.75</v>
      </c>
      <c r="E125" s="713">
        <v>0</v>
      </c>
      <c r="F125" s="713"/>
      <c r="G125" s="713"/>
    </row>
    <row r="126" spans="1:7" x14ac:dyDescent="0.3">
      <c r="A126" s="501" t="s">
        <v>456</v>
      </c>
      <c r="B126" s="714">
        <v>45689</v>
      </c>
      <c r="C126" s="715">
        <v>10260.75</v>
      </c>
      <c r="D126" s="715">
        <v>10260.75</v>
      </c>
      <c r="E126" s="713">
        <v>0</v>
      </c>
      <c r="F126" s="713"/>
      <c r="G126" s="713"/>
    </row>
    <row r="127" spans="1:7" x14ac:dyDescent="0.3">
      <c r="A127" s="501" t="s">
        <v>456</v>
      </c>
      <c r="B127" s="714">
        <v>45717</v>
      </c>
      <c r="C127" s="715">
        <v>10260.75</v>
      </c>
      <c r="D127" s="715">
        <v>10260.75</v>
      </c>
      <c r="E127" s="713">
        <v>0</v>
      </c>
      <c r="F127" s="713"/>
      <c r="G127" s="713"/>
    </row>
    <row r="128" spans="1:7" x14ac:dyDescent="0.3">
      <c r="A128" s="501" t="s">
        <v>456</v>
      </c>
      <c r="B128" s="714">
        <v>45748</v>
      </c>
      <c r="C128" s="715">
        <v>10260.75</v>
      </c>
      <c r="D128" s="715">
        <v>10260.75</v>
      </c>
      <c r="E128" s="713">
        <v>0</v>
      </c>
      <c r="F128" s="713"/>
      <c r="G128" s="713"/>
    </row>
    <row r="129" spans="1:7" x14ac:dyDescent="0.3">
      <c r="A129" s="501" t="s">
        <v>456</v>
      </c>
      <c r="B129" s="714">
        <v>45778</v>
      </c>
      <c r="C129" s="715">
        <v>10260.75</v>
      </c>
      <c r="D129" s="715">
        <v>10260.75</v>
      </c>
      <c r="E129" s="713">
        <v>0</v>
      </c>
      <c r="F129" s="713"/>
      <c r="G129" s="713"/>
    </row>
    <row r="130" spans="1:7" x14ac:dyDescent="0.3">
      <c r="A130" s="501" t="s">
        <v>456</v>
      </c>
      <c r="B130" s="714">
        <v>45809</v>
      </c>
      <c r="C130" s="715">
        <v>10260.75</v>
      </c>
      <c r="D130" s="715">
        <v>10260.75</v>
      </c>
      <c r="E130" s="713">
        <v>0</v>
      </c>
      <c r="F130" s="713"/>
      <c r="G130" s="713"/>
    </row>
    <row r="131" spans="1:7" x14ac:dyDescent="0.3">
      <c r="A131" s="501" t="s">
        <v>456</v>
      </c>
      <c r="B131" s="714">
        <v>45839</v>
      </c>
      <c r="C131" s="715">
        <v>10260.75</v>
      </c>
      <c r="D131" s="715">
        <v>10260.75</v>
      </c>
      <c r="E131" s="713">
        <v>0</v>
      </c>
      <c r="F131" s="713"/>
      <c r="G131" s="713"/>
    </row>
    <row r="132" spans="1:7" x14ac:dyDescent="0.3">
      <c r="A132" s="501" t="s">
        <v>456</v>
      </c>
      <c r="B132" s="714">
        <v>45870</v>
      </c>
      <c r="C132" s="715">
        <v>10260.75</v>
      </c>
      <c r="D132" s="715">
        <v>10260.75</v>
      </c>
      <c r="E132" s="713">
        <v>0</v>
      </c>
      <c r="F132" s="713"/>
      <c r="G132" s="713"/>
    </row>
    <row r="133" spans="1:7" x14ac:dyDescent="0.3">
      <c r="A133" s="501" t="s">
        <v>456</v>
      </c>
      <c r="B133" s="714">
        <v>45901</v>
      </c>
      <c r="C133" s="715">
        <v>10260.75</v>
      </c>
      <c r="D133" s="715">
        <v>10260.75</v>
      </c>
      <c r="E133" s="713">
        <v>0</v>
      </c>
      <c r="F133" s="713"/>
      <c r="G133" s="713"/>
    </row>
    <row r="134" spans="1:7" x14ac:dyDescent="0.3">
      <c r="A134" s="501" t="s">
        <v>456</v>
      </c>
      <c r="B134" s="714">
        <v>45931</v>
      </c>
      <c r="C134" s="715">
        <v>10260.75</v>
      </c>
      <c r="D134" s="715">
        <v>10260.75</v>
      </c>
      <c r="E134" s="713">
        <v>0</v>
      </c>
      <c r="F134" s="713"/>
      <c r="G134" s="713"/>
    </row>
    <row r="135" spans="1:7" x14ac:dyDescent="0.3">
      <c r="A135" s="501" t="s">
        <v>456</v>
      </c>
      <c r="B135" s="714">
        <v>45962</v>
      </c>
      <c r="C135" s="715">
        <v>10260.75</v>
      </c>
      <c r="D135" s="715">
        <v>10260.75</v>
      </c>
      <c r="E135" s="713">
        <v>0</v>
      </c>
      <c r="F135" s="713"/>
      <c r="G135" s="713"/>
    </row>
    <row r="136" spans="1:7" x14ac:dyDescent="0.3">
      <c r="A136" s="501" t="s">
        <v>456</v>
      </c>
      <c r="B136" s="714">
        <v>45992</v>
      </c>
      <c r="C136" s="715">
        <v>10260.75</v>
      </c>
      <c r="D136" s="715">
        <v>10260.75</v>
      </c>
      <c r="E136" s="713">
        <v>0</v>
      </c>
      <c r="F136" s="713">
        <v>123129</v>
      </c>
      <c r="G136" s="713">
        <v>123129</v>
      </c>
    </row>
    <row r="137" spans="1:7" x14ac:dyDescent="0.3">
      <c r="A137" s="197" t="s">
        <v>518</v>
      </c>
      <c r="B137" s="712">
        <v>45658</v>
      </c>
      <c r="C137" s="713">
        <v>54779</v>
      </c>
      <c r="D137" s="713">
        <v>54779</v>
      </c>
      <c r="E137" s="713">
        <v>0</v>
      </c>
      <c r="F137" s="713"/>
      <c r="G137" s="713"/>
    </row>
    <row r="138" spans="1:7" x14ac:dyDescent="0.3">
      <c r="A138" s="197" t="s">
        <v>518</v>
      </c>
      <c r="B138" s="712">
        <v>45689</v>
      </c>
      <c r="C138" s="713">
        <v>45874</v>
      </c>
      <c r="D138" s="713">
        <v>45874</v>
      </c>
      <c r="E138" s="713">
        <v>0</v>
      </c>
      <c r="F138" s="713"/>
      <c r="G138" s="713"/>
    </row>
    <row r="139" spans="1:7" x14ac:dyDescent="0.3">
      <c r="A139" s="197" t="s">
        <v>518</v>
      </c>
      <c r="B139" s="712">
        <v>45717</v>
      </c>
      <c r="C139" s="713">
        <v>45822</v>
      </c>
      <c r="D139" s="713">
        <v>45822</v>
      </c>
      <c r="E139" s="713">
        <v>0</v>
      </c>
      <c r="F139" s="713"/>
      <c r="G139" s="713"/>
    </row>
    <row r="140" spans="1:7" x14ac:dyDescent="0.3">
      <c r="A140" s="197" t="s">
        <v>518</v>
      </c>
      <c r="B140" s="712">
        <v>45748</v>
      </c>
      <c r="C140" s="713">
        <v>40487</v>
      </c>
      <c r="D140" s="713">
        <v>40487</v>
      </c>
      <c r="E140" s="713">
        <v>0</v>
      </c>
      <c r="F140" s="713"/>
      <c r="G140" s="713"/>
    </row>
    <row r="141" spans="1:7" x14ac:dyDescent="0.3">
      <c r="A141" s="197" t="s">
        <v>518</v>
      </c>
      <c r="B141" s="712">
        <v>45778</v>
      </c>
      <c r="C141" s="713">
        <v>31102</v>
      </c>
      <c r="D141" s="713">
        <v>31102</v>
      </c>
      <c r="E141" s="713">
        <v>0</v>
      </c>
      <c r="F141" s="713"/>
      <c r="G141" s="713"/>
    </row>
    <row r="142" spans="1:7" x14ac:dyDescent="0.3">
      <c r="A142" s="197" t="s">
        <v>518</v>
      </c>
      <c r="B142" s="712">
        <v>45809</v>
      </c>
      <c r="C142" s="713">
        <v>30171</v>
      </c>
      <c r="D142" s="713">
        <v>30171</v>
      </c>
      <c r="E142" s="713">
        <v>0</v>
      </c>
      <c r="F142" s="713"/>
      <c r="G142" s="713"/>
    </row>
    <row r="143" spans="1:7" x14ac:dyDescent="0.3">
      <c r="A143" s="197" t="s">
        <v>518</v>
      </c>
      <c r="B143" s="712">
        <v>45839</v>
      </c>
      <c r="C143" s="713">
        <v>28511</v>
      </c>
      <c r="D143" s="713">
        <v>28511</v>
      </c>
      <c r="E143" s="713">
        <v>0</v>
      </c>
      <c r="F143" s="713"/>
      <c r="G143" s="713"/>
    </row>
    <row r="144" spans="1:7" x14ac:dyDescent="0.3">
      <c r="A144" s="197" t="s">
        <v>518</v>
      </c>
      <c r="B144" s="712">
        <v>45870</v>
      </c>
      <c r="C144" s="713">
        <v>27220</v>
      </c>
      <c r="D144" s="713">
        <v>27220</v>
      </c>
      <c r="E144" s="713">
        <v>0</v>
      </c>
      <c r="F144" s="713"/>
      <c r="G144" s="713"/>
    </row>
    <row r="145" spans="1:7" x14ac:dyDescent="0.3">
      <c r="A145" s="197" t="s">
        <v>518</v>
      </c>
      <c r="B145" s="712">
        <v>45901</v>
      </c>
      <c r="C145" s="713">
        <v>34102</v>
      </c>
      <c r="D145" s="713">
        <v>34102</v>
      </c>
      <c r="E145" s="713">
        <v>0</v>
      </c>
      <c r="F145" s="713"/>
      <c r="G145" s="713"/>
    </row>
    <row r="146" spans="1:7" x14ac:dyDescent="0.3">
      <c r="A146" s="197" t="s">
        <v>518</v>
      </c>
      <c r="B146" s="712">
        <v>45931</v>
      </c>
      <c r="C146" s="713">
        <v>39098</v>
      </c>
      <c r="D146" s="713">
        <v>39098</v>
      </c>
      <c r="E146" s="713">
        <v>0</v>
      </c>
      <c r="F146" s="713"/>
      <c r="G146" s="713"/>
    </row>
    <row r="147" spans="1:7" x14ac:dyDescent="0.3">
      <c r="A147" s="197" t="s">
        <v>518</v>
      </c>
      <c r="B147" s="712">
        <v>45962</v>
      </c>
      <c r="C147" s="713">
        <v>41554</v>
      </c>
      <c r="D147" s="713">
        <v>41554</v>
      </c>
      <c r="E147" s="713">
        <v>0</v>
      </c>
      <c r="F147" s="713"/>
      <c r="G147" s="713"/>
    </row>
    <row r="148" spans="1:7" x14ac:dyDescent="0.3">
      <c r="A148" s="197" t="s">
        <v>518</v>
      </c>
      <c r="B148" s="712">
        <v>45992</v>
      </c>
      <c r="C148" s="713">
        <v>21970.633330000001</v>
      </c>
      <c r="D148" s="713">
        <v>21970.633330000001</v>
      </c>
      <c r="E148" s="713">
        <v>0</v>
      </c>
      <c r="F148" s="723">
        <v>440690.63332999998</v>
      </c>
      <c r="G148" s="723">
        <v>440690.63332999998</v>
      </c>
    </row>
    <row r="149" spans="1:7" x14ac:dyDescent="0.3">
      <c r="A149" s="197" t="s">
        <v>968</v>
      </c>
      <c r="B149" s="712">
        <v>45658</v>
      </c>
      <c r="C149" s="713">
        <v>5646.4164383561601</v>
      </c>
      <c r="D149" s="713">
        <v>5646.4164383561601</v>
      </c>
      <c r="E149" s="713">
        <v>0</v>
      </c>
      <c r="F149" s="713"/>
      <c r="G149" s="713"/>
    </row>
    <row r="150" spans="1:7" x14ac:dyDescent="0.3">
      <c r="A150" s="197" t="s">
        <v>968</v>
      </c>
      <c r="B150" s="712">
        <v>45689</v>
      </c>
      <c r="C150" s="713">
        <v>5099.9890410958897</v>
      </c>
      <c r="D150" s="713">
        <v>5099.9890410958897</v>
      </c>
      <c r="E150" s="713">
        <v>0</v>
      </c>
      <c r="F150" s="713"/>
      <c r="G150" s="713"/>
    </row>
    <row r="151" spans="1:7" x14ac:dyDescent="0.3">
      <c r="A151" s="197" t="s">
        <v>968</v>
      </c>
      <c r="B151" s="712">
        <v>45717</v>
      </c>
      <c r="C151" s="713">
        <v>5646.4164383561601</v>
      </c>
      <c r="D151" s="713">
        <v>5646.4164383561601</v>
      </c>
      <c r="E151" s="713">
        <v>0</v>
      </c>
      <c r="F151" s="713"/>
      <c r="G151" s="713"/>
    </row>
    <row r="152" spans="1:7" x14ac:dyDescent="0.3">
      <c r="A152" s="197" t="s">
        <v>968</v>
      </c>
      <c r="B152" s="712">
        <v>45748</v>
      </c>
      <c r="C152" s="713">
        <v>5464.2739726027403</v>
      </c>
      <c r="D152" s="713">
        <v>5464.2739726027403</v>
      </c>
      <c r="E152" s="713">
        <v>0</v>
      </c>
      <c r="F152" s="713"/>
      <c r="G152" s="713"/>
    </row>
    <row r="153" spans="1:7" x14ac:dyDescent="0.3">
      <c r="A153" s="197" t="s">
        <v>968</v>
      </c>
      <c r="B153" s="712">
        <v>45778</v>
      </c>
      <c r="C153" s="713">
        <v>5646.4164383561601</v>
      </c>
      <c r="D153" s="713">
        <v>5646.4164383561601</v>
      </c>
      <c r="E153" s="713">
        <v>0</v>
      </c>
      <c r="F153" s="713"/>
      <c r="G153" s="713"/>
    </row>
    <row r="154" spans="1:7" x14ac:dyDescent="0.3">
      <c r="A154" s="197" t="s">
        <v>968</v>
      </c>
      <c r="B154" s="712">
        <v>45809</v>
      </c>
      <c r="C154" s="713">
        <v>5464.2739726027403</v>
      </c>
      <c r="D154" s="713">
        <v>5464.2739726027403</v>
      </c>
      <c r="E154" s="713">
        <v>0</v>
      </c>
      <c r="F154" s="713"/>
      <c r="G154" s="713"/>
    </row>
    <row r="155" spans="1:7" x14ac:dyDescent="0.3">
      <c r="A155" s="197" t="s">
        <v>968</v>
      </c>
      <c r="B155" s="712">
        <v>45839</v>
      </c>
      <c r="C155" s="713">
        <v>5646.4164383561601</v>
      </c>
      <c r="D155" s="713">
        <v>5646.4164383561601</v>
      </c>
      <c r="E155" s="713">
        <v>0</v>
      </c>
      <c r="F155" s="713"/>
      <c r="G155" s="713"/>
    </row>
    <row r="156" spans="1:7" x14ac:dyDescent="0.3">
      <c r="A156" s="197" t="s">
        <v>968</v>
      </c>
      <c r="B156" s="712">
        <v>45870</v>
      </c>
      <c r="C156" s="713">
        <v>5646.4164383561601</v>
      </c>
      <c r="D156" s="713">
        <v>5646.4164383561601</v>
      </c>
      <c r="E156" s="713">
        <v>0</v>
      </c>
      <c r="F156" s="713"/>
      <c r="G156" s="713"/>
    </row>
    <row r="157" spans="1:7" x14ac:dyDescent="0.3">
      <c r="A157" s="197" t="s">
        <v>968</v>
      </c>
      <c r="B157" s="712">
        <v>45901</v>
      </c>
      <c r="C157" s="713">
        <v>5464.2739726027403</v>
      </c>
      <c r="D157" s="713">
        <v>5464.2739726027403</v>
      </c>
      <c r="E157" s="713">
        <v>0</v>
      </c>
      <c r="F157" s="713"/>
      <c r="G157" s="713"/>
    </row>
    <row r="158" spans="1:7" x14ac:dyDescent="0.3">
      <c r="A158" s="197" t="s">
        <v>968</v>
      </c>
      <c r="B158" s="712">
        <v>45931</v>
      </c>
      <c r="C158" s="713">
        <v>5646.4164383561601</v>
      </c>
      <c r="D158" s="713">
        <v>5646.4164383561601</v>
      </c>
      <c r="E158" s="713">
        <v>0</v>
      </c>
      <c r="F158" s="713"/>
      <c r="G158" s="713"/>
    </row>
    <row r="159" spans="1:7" x14ac:dyDescent="0.3">
      <c r="A159" s="197" t="s">
        <v>968</v>
      </c>
      <c r="B159" s="712">
        <v>45962</v>
      </c>
      <c r="C159" s="713">
        <v>5464.2739726027403</v>
      </c>
      <c r="D159" s="713">
        <v>5464.2739726027403</v>
      </c>
      <c r="E159" s="713">
        <v>0</v>
      </c>
      <c r="F159" s="713"/>
      <c r="G159" s="713"/>
    </row>
    <row r="160" spans="1:7" x14ac:dyDescent="0.3">
      <c r="A160" s="197" t="s">
        <v>968</v>
      </c>
      <c r="B160" s="712">
        <v>45992</v>
      </c>
      <c r="C160" s="713">
        <v>5646.4164383561601</v>
      </c>
      <c r="D160" s="713">
        <v>5646.4164383561601</v>
      </c>
      <c r="E160" s="713">
        <v>0</v>
      </c>
      <c r="F160" s="713">
        <v>66481.999999999971</v>
      </c>
      <c r="G160" s="713">
        <v>66481.999999999971</v>
      </c>
    </row>
    <row r="161" spans="1:8" x14ac:dyDescent="0.3">
      <c r="A161" s="197" t="s">
        <v>461</v>
      </c>
      <c r="B161" s="712">
        <v>45658</v>
      </c>
      <c r="C161" s="713">
        <v>26781.809999999998</v>
      </c>
      <c r="D161" s="713">
        <v>26781.809999999998</v>
      </c>
      <c r="E161" s="713">
        <v>0</v>
      </c>
      <c r="F161" s="713"/>
      <c r="G161" s="713"/>
    </row>
    <row r="162" spans="1:8" x14ac:dyDescent="0.3">
      <c r="A162" s="197" t="s">
        <v>461</v>
      </c>
      <c r="B162" s="712">
        <v>45689</v>
      </c>
      <c r="C162" s="713">
        <v>27374.809999999998</v>
      </c>
      <c r="D162" s="713">
        <v>27374.809999999998</v>
      </c>
      <c r="E162" s="713">
        <v>0</v>
      </c>
      <c r="F162" s="713"/>
      <c r="G162" s="713"/>
    </row>
    <row r="163" spans="1:8" x14ac:dyDescent="0.3">
      <c r="A163" s="197" t="s">
        <v>461</v>
      </c>
      <c r="B163" s="712">
        <v>45717</v>
      </c>
      <c r="C163" s="713">
        <v>32128.5</v>
      </c>
      <c r="D163" s="713">
        <v>32128.5</v>
      </c>
      <c r="E163" s="713">
        <v>0</v>
      </c>
      <c r="F163" s="713"/>
      <c r="G163" s="713"/>
    </row>
    <row r="164" spans="1:8" x14ac:dyDescent="0.3">
      <c r="A164" s="197" t="s">
        <v>461</v>
      </c>
      <c r="B164" s="712">
        <v>45748</v>
      </c>
      <c r="C164" s="713">
        <v>29984.5</v>
      </c>
      <c r="D164" s="713">
        <v>29984.5</v>
      </c>
      <c r="E164" s="713">
        <v>0</v>
      </c>
      <c r="F164" s="713"/>
      <c r="G164" s="713"/>
    </row>
    <row r="165" spans="1:8" x14ac:dyDescent="0.3">
      <c r="A165" s="197" t="s">
        <v>461</v>
      </c>
      <c r="B165" s="712">
        <v>45778</v>
      </c>
      <c r="C165" s="713">
        <v>29369.760000000002</v>
      </c>
      <c r="D165" s="713">
        <v>29369.760000000002</v>
      </c>
      <c r="E165" s="713">
        <v>0</v>
      </c>
      <c r="F165" s="713"/>
      <c r="G165" s="713"/>
    </row>
    <row r="166" spans="1:8" x14ac:dyDescent="0.3">
      <c r="A166" s="197" t="s">
        <v>461</v>
      </c>
      <c r="B166" s="712">
        <v>45809</v>
      </c>
      <c r="C166" s="713">
        <v>28328.300000000003</v>
      </c>
      <c r="D166" s="713">
        <v>28328.300000000003</v>
      </c>
      <c r="E166" s="713">
        <v>0</v>
      </c>
      <c r="F166" s="713"/>
      <c r="G166" s="713"/>
    </row>
    <row r="167" spans="1:8" x14ac:dyDescent="0.3">
      <c r="A167" s="197" t="s">
        <v>461</v>
      </c>
      <c r="B167" s="712">
        <v>45839</v>
      </c>
      <c r="C167" s="713">
        <v>20273.359999999997</v>
      </c>
      <c r="D167" s="713">
        <v>20273.359999999997</v>
      </c>
      <c r="E167" s="713">
        <v>0</v>
      </c>
      <c r="F167" s="713"/>
      <c r="G167" s="713"/>
    </row>
    <row r="168" spans="1:8" x14ac:dyDescent="0.3">
      <c r="A168" s="197" t="s">
        <v>461</v>
      </c>
      <c r="B168" s="712">
        <v>45870</v>
      </c>
      <c r="C168" s="713">
        <v>18565.59</v>
      </c>
      <c r="D168" s="713">
        <v>18565.59</v>
      </c>
      <c r="E168" s="713">
        <v>0</v>
      </c>
      <c r="F168" s="713"/>
      <c r="G168" s="713"/>
    </row>
    <row r="169" spans="1:8" x14ac:dyDescent="0.3">
      <c r="A169" s="197" t="s">
        <v>461</v>
      </c>
      <c r="B169" s="712">
        <v>45901</v>
      </c>
      <c r="C169" s="713">
        <v>20073.010000000002</v>
      </c>
      <c r="D169" s="713">
        <v>20073.010000000002</v>
      </c>
      <c r="E169" s="713">
        <v>0</v>
      </c>
      <c r="F169" s="713"/>
      <c r="G169" s="713"/>
    </row>
    <row r="170" spans="1:8" x14ac:dyDescent="0.3">
      <c r="A170" s="197" t="s">
        <v>461</v>
      </c>
      <c r="B170" s="712">
        <v>45931</v>
      </c>
      <c r="C170" s="713">
        <v>20829.46</v>
      </c>
      <c r="D170" s="713">
        <v>20829.46</v>
      </c>
      <c r="E170" s="713">
        <v>0</v>
      </c>
      <c r="F170" s="713"/>
      <c r="G170" s="713"/>
    </row>
    <row r="171" spans="1:8" x14ac:dyDescent="0.3">
      <c r="A171" s="197" t="s">
        <v>461</v>
      </c>
      <c r="B171" s="712">
        <v>45962</v>
      </c>
      <c r="C171" s="713">
        <v>21503.15</v>
      </c>
      <c r="D171" s="713">
        <v>21503.15</v>
      </c>
      <c r="E171" s="713">
        <v>0</v>
      </c>
      <c r="F171" s="713"/>
      <c r="G171" s="713"/>
    </row>
    <row r="172" spans="1:8" x14ac:dyDescent="0.3">
      <c r="A172" s="197" t="s">
        <v>461</v>
      </c>
      <c r="B172" s="712">
        <v>45992</v>
      </c>
      <c r="C172" s="713">
        <v>24214.210000000003</v>
      </c>
      <c r="D172" s="713">
        <v>24214.210000000003</v>
      </c>
      <c r="E172" s="713">
        <v>0</v>
      </c>
      <c r="F172" s="713">
        <v>299426.46000000002</v>
      </c>
      <c r="G172">
        <v>246172.9</v>
      </c>
      <c r="H172">
        <v>53253.56</v>
      </c>
    </row>
    <row r="173" spans="1:8" x14ac:dyDescent="0.3">
      <c r="A173" s="197" t="s">
        <v>462</v>
      </c>
      <c r="B173" s="712">
        <v>45658</v>
      </c>
      <c r="C173" s="713">
        <v>12963.520233154297</v>
      </c>
      <c r="D173" s="713">
        <v>12963.520233154297</v>
      </c>
      <c r="E173" s="713">
        <v>0</v>
      </c>
      <c r="F173" s="713"/>
      <c r="G173" s="713"/>
    </row>
    <row r="174" spans="1:8" x14ac:dyDescent="0.3">
      <c r="A174" s="197" t="s">
        <v>462</v>
      </c>
      <c r="B174" s="712">
        <v>45689</v>
      </c>
      <c r="C174" s="713">
        <v>11035.080261230463</v>
      </c>
      <c r="D174" s="713">
        <v>11035.080261230463</v>
      </c>
      <c r="E174" s="713">
        <v>0</v>
      </c>
      <c r="F174" s="713"/>
      <c r="G174" s="713"/>
    </row>
    <row r="175" spans="1:8" x14ac:dyDescent="0.3">
      <c r="A175" s="197" t="s">
        <v>462</v>
      </c>
      <c r="B175" s="712">
        <v>45717</v>
      </c>
      <c r="C175" s="713">
        <v>9960.3899536132813</v>
      </c>
      <c r="D175" s="713">
        <v>9960.3899536132813</v>
      </c>
      <c r="E175" s="713">
        <v>0</v>
      </c>
      <c r="F175" s="713"/>
      <c r="G175" s="713"/>
    </row>
    <row r="176" spans="1:8" x14ac:dyDescent="0.3">
      <c r="A176" s="197" t="s">
        <v>462</v>
      </c>
      <c r="B176" s="712">
        <v>45748</v>
      </c>
      <c r="C176" s="713">
        <v>9179.5200195312445</v>
      </c>
      <c r="D176" s="713">
        <v>9179.5200195312445</v>
      </c>
      <c r="E176" s="713">
        <v>0</v>
      </c>
      <c r="F176" s="713"/>
      <c r="G176" s="713"/>
    </row>
    <row r="177" spans="1:8" x14ac:dyDescent="0.3">
      <c r="A177" s="197" t="s">
        <v>462</v>
      </c>
      <c r="B177" s="712">
        <v>45778</v>
      </c>
      <c r="C177" s="713">
        <v>9031.68017578125</v>
      </c>
      <c r="D177" s="713">
        <v>9031.68017578125</v>
      </c>
      <c r="E177" s="713">
        <v>0</v>
      </c>
      <c r="F177" s="713"/>
      <c r="G177" s="713"/>
    </row>
    <row r="178" spans="1:8" x14ac:dyDescent="0.3">
      <c r="A178" s="197" t="s">
        <v>462</v>
      </c>
      <c r="B178" s="712">
        <v>45809</v>
      </c>
      <c r="C178" s="713">
        <v>8267.1000366210938</v>
      </c>
      <c r="D178" s="713">
        <v>8267.1000366210938</v>
      </c>
      <c r="E178" s="713">
        <v>0</v>
      </c>
      <c r="F178" s="713"/>
      <c r="G178" s="713"/>
    </row>
    <row r="179" spans="1:8" x14ac:dyDescent="0.3">
      <c r="A179" s="197" t="s">
        <v>462</v>
      </c>
      <c r="B179" s="712">
        <v>45839</v>
      </c>
      <c r="C179" s="713">
        <v>8485.679931640625</v>
      </c>
      <c r="D179" s="713">
        <v>8485.679931640625</v>
      </c>
      <c r="E179" s="713">
        <v>0</v>
      </c>
      <c r="F179" s="713"/>
      <c r="G179" s="713"/>
    </row>
    <row r="180" spans="1:8" x14ac:dyDescent="0.3">
      <c r="A180" s="197" t="s">
        <v>462</v>
      </c>
      <c r="B180" s="712">
        <v>45870</v>
      </c>
      <c r="C180" s="713">
        <v>7742.5599365234357</v>
      </c>
      <c r="D180" s="713">
        <v>7742.5599365234357</v>
      </c>
      <c r="E180" s="713">
        <v>0</v>
      </c>
      <c r="F180" s="713"/>
      <c r="G180" s="713"/>
    </row>
    <row r="181" spans="1:8" x14ac:dyDescent="0.3">
      <c r="A181" s="197" t="s">
        <v>462</v>
      </c>
      <c r="B181" s="712">
        <v>45901</v>
      </c>
      <c r="C181" s="713">
        <v>10512.479858398438</v>
      </c>
      <c r="D181" s="713">
        <v>10512.479858398438</v>
      </c>
      <c r="E181" s="713">
        <v>0</v>
      </c>
      <c r="F181" s="713"/>
      <c r="G181" s="713"/>
    </row>
    <row r="182" spans="1:8" x14ac:dyDescent="0.3">
      <c r="A182" s="197" t="s">
        <v>462</v>
      </c>
      <c r="B182" s="712">
        <v>45931</v>
      </c>
      <c r="C182" s="713">
        <v>9308.4201049804669</v>
      </c>
      <c r="D182" s="713">
        <v>9308.4201049804669</v>
      </c>
      <c r="E182" s="713">
        <v>0</v>
      </c>
      <c r="F182" s="713"/>
      <c r="G182" s="713"/>
    </row>
    <row r="183" spans="1:8" x14ac:dyDescent="0.3">
      <c r="A183" s="197" t="s">
        <v>462</v>
      </c>
      <c r="B183" s="712">
        <v>45962</v>
      </c>
      <c r="C183" s="713">
        <v>8040.599853515625</v>
      </c>
      <c r="D183" s="713">
        <v>8040.599853515625</v>
      </c>
      <c r="E183" s="713">
        <v>0</v>
      </c>
      <c r="F183" s="713"/>
      <c r="G183" s="713"/>
    </row>
    <row r="184" spans="1:8" x14ac:dyDescent="0.3">
      <c r="A184" s="197" t="s">
        <v>462</v>
      </c>
      <c r="B184" s="712">
        <v>45992</v>
      </c>
      <c r="C184" s="713">
        <v>8571.81005859375</v>
      </c>
      <c r="D184" s="713">
        <v>8571.81005859375</v>
      </c>
      <c r="E184" s="713">
        <v>0</v>
      </c>
      <c r="F184" s="713">
        <v>113098.84042358397</v>
      </c>
      <c r="G184" s="713">
        <v>87624.1</v>
      </c>
      <c r="H184">
        <v>25474.7</v>
      </c>
    </row>
    <row r="185" spans="1:8" x14ac:dyDescent="0.3">
      <c r="A185" s="197" t="s">
        <v>515</v>
      </c>
      <c r="B185" s="712">
        <v>45658</v>
      </c>
      <c r="C185" s="713">
        <v>20686.473549049799</v>
      </c>
      <c r="D185" s="713">
        <v>20686.473549049799</v>
      </c>
      <c r="E185" s="713">
        <v>0</v>
      </c>
      <c r="F185" s="713"/>
      <c r="G185" s="713"/>
    </row>
    <row r="186" spans="1:8" x14ac:dyDescent="0.3">
      <c r="A186" s="197" t="s">
        <v>515</v>
      </c>
      <c r="B186" s="712">
        <v>45689</v>
      </c>
      <c r="C186" s="713">
        <v>18357.677966101699</v>
      </c>
      <c r="D186" s="713">
        <v>18357.677966101699</v>
      </c>
      <c r="E186" s="713">
        <v>0</v>
      </c>
      <c r="F186" s="713"/>
      <c r="G186" s="713"/>
    </row>
    <row r="187" spans="1:8" x14ac:dyDescent="0.3">
      <c r="A187" s="197" t="s">
        <v>515</v>
      </c>
      <c r="B187" s="712">
        <v>45717</v>
      </c>
      <c r="C187" s="713">
        <v>16718.528688524599</v>
      </c>
      <c r="D187" s="713">
        <v>16718.528688524599</v>
      </c>
      <c r="E187" s="713">
        <v>0</v>
      </c>
      <c r="F187" s="713"/>
      <c r="G187" s="713"/>
    </row>
    <row r="188" spans="1:8" x14ac:dyDescent="0.3">
      <c r="A188" s="197" t="s">
        <v>515</v>
      </c>
      <c r="B188" s="712">
        <v>45748</v>
      </c>
      <c r="C188" s="713">
        <v>15791.284870797401</v>
      </c>
      <c r="D188" s="713">
        <v>15791.284870797401</v>
      </c>
      <c r="E188" s="713">
        <v>0</v>
      </c>
      <c r="F188" s="713"/>
      <c r="G188" s="713"/>
    </row>
    <row r="189" spans="1:8" x14ac:dyDescent="0.3">
      <c r="A189" s="197" t="s">
        <v>515</v>
      </c>
      <c r="B189" s="712">
        <v>45778</v>
      </c>
      <c r="C189" s="713">
        <v>17560.776604612402</v>
      </c>
      <c r="D189" s="713">
        <v>17560.776604612402</v>
      </c>
      <c r="E189" s="713">
        <v>0</v>
      </c>
      <c r="F189" s="713"/>
      <c r="G189" s="713"/>
    </row>
    <row r="190" spans="1:8" x14ac:dyDescent="0.3">
      <c r="A190" s="197" t="s">
        <v>515</v>
      </c>
      <c r="B190" s="712">
        <v>45809</v>
      </c>
      <c r="C190" s="713">
        <v>17338.524590163899</v>
      </c>
      <c r="D190" s="713">
        <v>17338.524590163899</v>
      </c>
      <c r="E190" s="713">
        <v>0</v>
      </c>
      <c r="F190" s="713"/>
      <c r="G190" s="713"/>
    </row>
    <row r="191" spans="1:8" x14ac:dyDescent="0.3">
      <c r="A191" s="197" t="s">
        <v>515</v>
      </c>
      <c r="B191" s="712">
        <v>45839</v>
      </c>
      <c r="C191" s="713">
        <v>18686.852987837101</v>
      </c>
      <c r="D191" s="713">
        <v>18686.852987837101</v>
      </c>
      <c r="E191" s="713">
        <v>0</v>
      </c>
      <c r="F191" s="713"/>
      <c r="G191" s="713"/>
    </row>
    <row r="192" spans="1:8" x14ac:dyDescent="0.3">
      <c r="A192" s="197" t="s">
        <v>515</v>
      </c>
      <c r="B192" s="712">
        <v>45870</v>
      </c>
      <c r="C192" s="713">
        <v>18499</v>
      </c>
      <c r="D192" s="713">
        <v>18499</v>
      </c>
      <c r="E192" s="713">
        <v>0</v>
      </c>
      <c r="F192" s="713"/>
      <c r="G192" s="713"/>
    </row>
    <row r="193" spans="1:7" x14ac:dyDescent="0.3">
      <c r="A193" s="197" t="s">
        <v>515</v>
      </c>
      <c r="B193" s="712">
        <v>45901</v>
      </c>
      <c r="C193" s="713">
        <v>14716.245372818599</v>
      </c>
      <c r="D193" s="713">
        <v>14716.245372818599</v>
      </c>
      <c r="E193" s="713">
        <v>0</v>
      </c>
      <c r="F193" s="713"/>
      <c r="G193" s="713"/>
    </row>
    <row r="194" spans="1:7" x14ac:dyDescent="0.3">
      <c r="A194" s="197" t="s">
        <v>515</v>
      </c>
      <c r="B194" s="712">
        <v>45931</v>
      </c>
      <c r="C194" s="713">
        <v>15729.3482887547</v>
      </c>
      <c r="D194" s="713">
        <v>15729.3482887547</v>
      </c>
      <c r="E194" s="713">
        <v>0</v>
      </c>
      <c r="F194" s="713"/>
      <c r="G194" s="713"/>
    </row>
    <row r="195" spans="1:7" x14ac:dyDescent="0.3">
      <c r="A195" s="197" t="s">
        <v>515</v>
      </c>
      <c r="B195" s="712">
        <v>45962</v>
      </c>
      <c r="C195" s="713">
        <v>16606.513277729799</v>
      </c>
      <c r="D195" s="713">
        <v>16606.513277729799</v>
      </c>
      <c r="E195" s="713">
        <v>0</v>
      </c>
      <c r="F195" s="713"/>
      <c r="G195" s="713"/>
    </row>
    <row r="196" spans="1:7" x14ac:dyDescent="0.3">
      <c r="A196" s="197" t="s">
        <v>515</v>
      </c>
      <c r="B196" s="712">
        <v>45992</v>
      </c>
      <c r="C196" s="713">
        <v>17045.369763205799</v>
      </c>
      <c r="D196" s="713">
        <v>17045.369763205799</v>
      </c>
      <c r="E196" s="713">
        <v>0</v>
      </c>
      <c r="F196" s="713">
        <f>SUM(C185:C196)</f>
        <v>207736.59595959578</v>
      </c>
      <c r="G196" s="713">
        <f>SUM(D185:D196)</f>
        <v>207736.59595959578</v>
      </c>
    </row>
    <row r="197" spans="1:7" x14ac:dyDescent="0.3">
      <c r="A197" s="197" t="s">
        <v>516</v>
      </c>
      <c r="B197" s="712">
        <v>45658</v>
      </c>
      <c r="C197" s="713">
        <v>2669</v>
      </c>
      <c r="D197" s="713">
        <v>0</v>
      </c>
      <c r="E197" s="713">
        <v>2669</v>
      </c>
      <c r="F197" s="713"/>
      <c r="G197" s="713"/>
    </row>
    <row r="198" spans="1:7" x14ac:dyDescent="0.3">
      <c r="A198" s="197" t="s">
        <v>516</v>
      </c>
      <c r="B198" s="712">
        <v>45689</v>
      </c>
      <c r="C198" s="713">
        <v>924</v>
      </c>
      <c r="D198" s="713">
        <v>0</v>
      </c>
      <c r="E198" s="713">
        <v>924</v>
      </c>
      <c r="F198" s="713"/>
      <c r="G198" s="713"/>
    </row>
    <row r="199" spans="1:7" x14ac:dyDescent="0.3">
      <c r="A199" s="197" t="s">
        <v>516</v>
      </c>
      <c r="B199" s="712">
        <v>45717</v>
      </c>
      <c r="C199" s="713">
        <v>1905</v>
      </c>
      <c r="D199" s="713">
        <v>0</v>
      </c>
      <c r="E199" s="713">
        <v>1905</v>
      </c>
      <c r="F199" s="713"/>
      <c r="G199" s="713"/>
    </row>
    <row r="200" spans="1:7" x14ac:dyDescent="0.3">
      <c r="A200" s="197" t="s">
        <v>516</v>
      </c>
      <c r="B200" s="712">
        <v>45748</v>
      </c>
      <c r="C200" s="713">
        <v>1810</v>
      </c>
      <c r="D200" s="713">
        <v>0</v>
      </c>
      <c r="E200" s="713">
        <v>1810</v>
      </c>
      <c r="F200" s="713"/>
      <c r="G200" s="713"/>
    </row>
    <row r="201" spans="1:7" x14ac:dyDescent="0.3">
      <c r="A201" s="197" t="s">
        <v>516</v>
      </c>
      <c r="B201" s="712">
        <v>45778</v>
      </c>
      <c r="C201" s="713">
        <v>1810</v>
      </c>
      <c r="D201" s="713">
        <v>0</v>
      </c>
      <c r="E201" s="713">
        <v>1810</v>
      </c>
      <c r="F201" s="713"/>
      <c r="G201" s="713"/>
    </row>
    <row r="202" spans="1:7" x14ac:dyDescent="0.3">
      <c r="A202" s="197" t="s">
        <v>516</v>
      </c>
      <c r="B202" s="712">
        <v>45809</v>
      </c>
      <c r="C202" s="713">
        <v>433</v>
      </c>
      <c r="D202" s="713">
        <v>0</v>
      </c>
      <c r="E202" s="713">
        <v>433</v>
      </c>
      <c r="F202" s="713"/>
      <c r="G202" s="713"/>
    </row>
    <row r="203" spans="1:7" x14ac:dyDescent="0.3">
      <c r="A203" s="197" t="s">
        <v>516</v>
      </c>
      <c r="B203" s="712">
        <v>45839</v>
      </c>
      <c r="C203" s="713">
        <v>2170</v>
      </c>
      <c r="D203" s="713">
        <v>0</v>
      </c>
      <c r="E203" s="713">
        <v>2170</v>
      </c>
      <c r="F203" s="713"/>
      <c r="G203" s="713"/>
    </row>
    <row r="204" spans="1:7" x14ac:dyDescent="0.3">
      <c r="A204" s="197" t="s">
        <v>516</v>
      </c>
      <c r="B204" s="712">
        <v>45870</v>
      </c>
      <c r="C204" s="713">
        <v>3201</v>
      </c>
      <c r="D204" s="713">
        <v>0</v>
      </c>
      <c r="E204" s="713">
        <v>3201</v>
      </c>
      <c r="F204" s="713"/>
      <c r="G204" s="713"/>
    </row>
    <row r="205" spans="1:7" x14ac:dyDescent="0.3">
      <c r="A205" s="197" t="s">
        <v>516</v>
      </c>
      <c r="B205" s="712">
        <v>45901</v>
      </c>
      <c r="C205" s="713">
        <v>2615</v>
      </c>
      <c r="D205" s="713">
        <v>0</v>
      </c>
      <c r="E205" s="713">
        <v>2615</v>
      </c>
      <c r="F205" s="713"/>
      <c r="G205" s="713"/>
    </row>
    <row r="206" spans="1:7" x14ac:dyDescent="0.3">
      <c r="A206" s="197" t="s">
        <v>516</v>
      </c>
      <c r="B206" s="712">
        <v>45931</v>
      </c>
      <c r="C206" s="713">
        <v>2514</v>
      </c>
      <c r="D206" s="713">
        <v>0</v>
      </c>
      <c r="E206" s="713">
        <v>2514</v>
      </c>
      <c r="F206" s="713"/>
      <c r="G206" s="713"/>
    </row>
    <row r="207" spans="1:7" x14ac:dyDescent="0.3">
      <c r="A207" s="197" t="s">
        <v>516</v>
      </c>
      <c r="B207" s="712">
        <v>45962</v>
      </c>
      <c r="C207" s="713">
        <v>1182</v>
      </c>
      <c r="D207" s="713">
        <v>0</v>
      </c>
      <c r="E207" s="713">
        <v>1182</v>
      </c>
      <c r="F207" s="713"/>
      <c r="G207" s="713"/>
    </row>
    <row r="208" spans="1:7" x14ac:dyDescent="0.3">
      <c r="A208" s="197" t="s">
        <v>516</v>
      </c>
      <c r="B208" s="712">
        <v>45992</v>
      </c>
      <c r="C208" s="713">
        <v>2380</v>
      </c>
      <c r="D208" s="713">
        <v>0</v>
      </c>
      <c r="E208" s="713">
        <v>2380</v>
      </c>
      <c r="F208" s="713">
        <v>0</v>
      </c>
      <c r="G208" s="713"/>
    </row>
    <row r="209" spans="1:7" x14ac:dyDescent="0.3">
      <c r="A209" s="197" t="s">
        <v>839</v>
      </c>
      <c r="B209" s="712">
        <v>45658</v>
      </c>
      <c r="C209" s="713">
        <v>1440</v>
      </c>
      <c r="D209" s="713">
        <v>1440</v>
      </c>
      <c r="E209" s="713">
        <v>0</v>
      </c>
      <c r="F209" s="713"/>
      <c r="G209" s="713"/>
    </row>
    <row r="210" spans="1:7" x14ac:dyDescent="0.3">
      <c r="A210" s="197" t="s">
        <v>839</v>
      </c>
      <c r="B210" s="712">
        <v>45689</v>
      </c>
      <c r="C210" s="713">
        <v>1440</v>
      </c>
      <c r="D210" s="713">
        <v>1440</v>
      </c>
      <c r="E210" s="713">
        <v>0</v>
      </c>
      <c r="F210" s="713"/>
      <c r="G210" s="713"/>
    </row>
    <row r="211" spans="1:7" x14ac:dyDescent="0.3">
      <c r="A211" s="197" t="s">
        <v>839</v>
      </c>
      <c r="B211" s="712">
        <v>45717</v>
      </c>
      <c r="C211" s="713">
        <v>2312</v>
      </c>
      <c r="D211" s="713">
        <v>2312</v>
      </c>
      <c r="E211" s="713">
        <v>0</v>
      </c>
      <c r="F211" s="713"/>
      <c r="G211" s="713"/>
    </row>
    <row r="212" spans="1:7" x14ac:dyDescent="0.3">
      <c r="A212" s="197" t="s">
        <v>839</v>
      </c>
      <c r="B212" s="712">
        <v>45748</v>
      </c>
      <c r="C212" s="713">
        <v>2312</v>
      </c>
      <c r="D212" s="713">
        <v>2312</v>
      </c>
      <c r="E212" s="713">
        <v>0</v>
      </c>
      <c r="F212" s="713"/>
      <c r="G212" s="713"/>
    </row>
    <row r="213" spans="1:7" x14ac:dyDescent="0.3">
      <c r="A213" s="197" t="s">
        <v>839</v>
      </c>
      <c r="B213" s="712">
        <v>45778</v>
      </c>
      <c r="C213" s="713">
        <v>1524</v>
      </c>
      <c r="D213" s="713">
        <v>1524</v>
      </c>
      <c r="E213" s="713">
        <v>0</v>
      </c>
      <c r="F213" s="713"/>
      <c r="G213" s="713"/>
    </row>
    <row r="214" spans="1:7" x14ac:dyDescent="0.3">
      <c r="A214" s="197" t="s">
        <v>839</v>
      </c>
      <c r="B214" s="712">
        <v>45809</v>
      </c>
      <c r="C214" s="713">
        <v>1524</v>
      </c>
      <c r="D214" s="713">
        <v>1524</v>
      </c>
      <c r="E214" s="713">
        <v>0</v>
      </c>
      <c r="F214" s="713"/>
      <c r="G214" s="713"/>
    </row>
    <row r="215" spans="1:7" x14ac:dyDescent="0.3">
      <c r="A215" s="197" t="s">
        <v>839</v>
      </c>
      <c r="B215" s="712">
        <v>45839</v>
      </c>
      <c r="C215" s="713">
        <v>5888</v>
      </c>
      <c r="D215" s="713">
        <v>5888</v>
      </c>
      <c r="E215" s="713">
        <v>0</v>
      </c>
      <c r="F215" s="713"/>
      <c r="G215" s="713"/>
    </row>
    <row r="216" spans="1:7" x14ac:dyDescent="0.3">
      <c r="A216" s="197" t="s">
        <v>839</v>
      </c>
      <c r="B216" s="712">
        <v>45870</v>
      </c>
      <c r="C216" s="713">
        <v>7195</v>
      </c>
      <c r="D216" s="713">
        <v>7195</v>
      </c>
      <c r="E216" s="713">
        <v>0</v>
      </c>
      <c r="F216" s="713"/>
      <c r="G216" s="713"/>
    </row>
    <row r="217" spans="1:7" x14ac:dyDescent="0.3">
      <c r="A217" s="197" t="s">
        <v>839</v>
      </c>
      <c r="B217" s="712">
        <v>45901</v>
      </c>
      <c r="C217" s="713">
        <v>3857.25</v>
      </c>
      <c r="D217" s="713">
        <v>3857.25</v>
      </c>
      <c r="E217" s="713">
        <v>0</v>
      </c>
      <c r="F217" s="713"/>
      <c r="G217" s="713"/>
    </row>
    <row r="218" spans="1:7" x14ac:dyDescent="0.3">
      <c r="A218" s="197" t="s">
        <v>839</v>
      </c>
      <c r="B218" s="712">
        <v>45931</v>
      </c>
      <c r="C218" s="713">
        <v>3857.25</v>
      </c>
      <c r="D218" s="713">
        <v>3857.25</v>
      </c>
      <c r="E218" s="713">
        <v>0</v>
      </c>
      <c r="F218" s="713"/>
      <c r="G218" s="713"/>
    </row>
    <row r="219" spans="1:7" x14ac:dyDescent="0.3">
      <c r="A219" s="197" t="s">
        <v>839</v>
      </c>
      <c r="B219" s="712">
        <v>45962</v>
      </c>
      <c r="C219" s="713">
        <v>3857.25</v>
      </c>
      <c r="D219" s="713">
        <v>3857.25</v>
      </c>
      <c r="E219" s="713">
        <v>0</v>
      </c>
      <c r="F219" s="713"/>
      <c r="G219" s="713"/>
    </row>
    <row r="220" spans="1:7" x14ac:dyDescent="0.3">
      <c r="A220" s="197" t="s">
        <v>839</v>
      </c>
      <c r="B220" s="712">
        <v>45992</v>
      </c>
      <c r="C220" s="713">
        <v>3857.25</v>
      </c>
      <c r="D220" s="713">
        <v>3857.25</v>
      </c>
      <c r="E220" s="713">
        <v>0</v>
      </c>
      <c r="F220" s="713">
        <v>39064</v>
      </c>
      <c r="G220" s="713">
        <v>39064</v>
      </c>
    </row>
    <row r="221" spans="1:7" x14ac:dyDescent="0.3">
      <c r="A221" s="197" t="s">
        <v>514</v>
      </c>
      <c r="B221" s="712">
        <v>45658</v>
      </c>
      <c r="C221" s="713">
        <v>15659.671232876701</v>
      </c>
      <c r="D221" s="713">
        <v>15659.671232876701</v>
      </c>
      <c r="E221" s="713">
        <v>0</v>
      </c>
      <c r="F221" s="713"/>
      <c r="G221" s="713"/>
    </row>
    <row r="222" spans="1:7" x14ac:dyDescent="0.3">
      <c r="A222" s="197" t="s">
        <v>514</v>
      </c>
      <c r="B222" s="712">
        <v>45689</v>
      </c>
      <c r="C222" s="713">
        <v>14144.2191780822</v>
      </c>
      <c r="D222" s="713">
        <v>14144.2191780822</v>
      </c>
      <c r="E222" s="713">
        <v>0</v>
      </c>
      <c r="F222" s="713"/>
      <c r="G222" s="713"/>
    </row>
    <row r="223" spans="1:7" x14ac:dyDescent="0.3">
      <c r="A223" s="197" t="s">
        <v>514</v>
      </c>
      <c r="B223" s="712">
        <v>45717</v>
      </c>
      <c r="C223" s="713">
        <v>15659.671232876701</v>
      </c>
      <c r="D223" s="713">
        <v>15659.671232876701</v>
      </c>
      <c r="E223" s="713">
        <v>0</v>
      </c>
      <c r="F223" s="713"/>
      <c r="G223" s="713"/>
    </row>
    <row r="224" spans="1:7" x14ac:dyDescent="0.3">
      <c r="A224" s="197" t="s">
        <v>514</v>
      </c>
      <c r="B224" s="712">
        <v>45748</v>
      </c>
      <c r="C224" s="713">
        <v>15154.5205479452</v>
      </c>
      <c r="D224" s="713">
        <v>15154.5205479452</v>
      </c>
      <c r="E224" s="713">
        <v>0</v>
      </c>
      <c r="F224" s="713"/>
      <c r="G224" s="713"/>
    </row>
    <row r="225" spans="1:7" x14ac:dyDescent="0.3">
      <c r="A225" s="197" t="s">
        <v>514</v>
      </c>
      <c r="B225" s="712">
        <v>45778</v>
      </c>
      <c r="C225" s="713">
        <v>15659.671232876701</v>
      </c>
      <c r="D225" s="713">
        <v>15659.671232876701</v>
      </c>
      <c r="E225" s="713">
        <v>0</v>
      </c>
      <c r="F225" s="713"/>
      <c r="G225" s="713"/>
    </row>
    <row r="226" spans="1:7" x14ac:dyDescent="0.3">
      <c r="A226" s="197" t="s">
        <v>514</v>
      </c>
      <c r="B226" s="712">
        <v>45809</v>
      </c>
      <c r="C226" s="713">
        <v>15154.5205479452</v>
      </c>
      <c r="D226" s="713">
        <v>15154.5205479452</v>
      </c>
      <c r="E226" s="713">
        <v>0</v>
      </c>
      <c r="F226" s="713"/>
      <c r="G226" s="713"/>
    </row>
    <row r="227" spans="1:7" x14ac:dyDescent="0.3">
      <c r="A227" s="197" t="s">
        <v>514</v>
      </c>
      <c r="B227" s="712">
        <v>45839</v>
      </c>
      <c r="C227" s="713">
        <v>15659.671232876701</v>
      </c>
      <c r="D227" s="713">
        <v>15659.671232876701</v>
      </c>
      <c r="E227" s="713">
        <v>0</v>
      </c>
      <c r="F227" s="713"/>
      <c r="G227" s="713"/>
    </row>
    <row r="228" spans="1:7" x14ac:dyDescent="0.3">
      <c r="A228" s="197" t="s">
        <v>514</v>
      </c>
      <c r="B228" s="712">
        <v>45870</v>
      </c>
      <c r="C228" s="713">
        <v>15659.671232876701</v>
      </c>
      <c r="D228" s="713">
        <v>15659.671232876701</v>
      </c>
      <c r="E228" s="713">
        <v>0</v>
      </c>
      <c r="F228" s="713"/>
      <c r="G228" s="713"/>
    </row>
    <row r="229" spans="1:7" x14ac:dyDescent="0.3">
      <c r="A229" s="197" t="s">
        <v>514</v>
      </c>
      <c r="B229" s="712">
        <v>45901</v>
      </c>
      <c r="C229" s="713">
        <v>15154.5205479452</v>
      </c>
      <c r="D229" s="713">
        <v>15154.5205479452</v>
      </c>
      <c r="E229" s="713">
        <v>0</v>
      </c>
      <c r="F229" s="713"/>
      <c r="G229" s="713"/>
    </row>
    <row r="230" spans="1:7" x14ac:dyDescent="0.3">
      <c r="A230" s="197" t="s">
        <v>514</v>
      </c>
      <c r="B230" s="712">
        <v>45931</v>
      </c>
      <c r="C230" s="713">
        <v>15659.671232876701</v>
      </c>
      <c r="D230" s="713">
        <v>15659.671232876701</v>
      </c>
      <c r="E230" s="713">
        <v>0</v>
      </c>
      <c r="F230" s="713"/>
      <c r="G230" s="713"/>
    </row>
    <row r="231" spans="1:7" x14ac:dyDescent="0.3">
      <c r="A231" s="197" t="s">
        <v>514</v>
      </c>
      <c r="B231" s="712">
        <v>45962</v>
      </c>
      <c r="C231" s="713">
        <v>15154.5205479452</v>
      </c>
      <c r="D231" s="713">
        <v>15154.5205479452</v>
      </c>
      <c r="E231" s="713">
        <v>0</v>
      </c>
      <c r="F231" s="713"/>
      <c r="G231" s="713"/>
    </row>
    <row r="232" spans="1:7" x14ac:dyDescent="0.3">
      <c r="A232" s="197" t="s">
        <v>514</v>
      </c>
      <c r="B232" s="712">
        <v>45992</v>
      </c>
      <c r="C232" s="713">
        <v>15659.671232876701</v>
      </c>
      <c r="D232" s="713">
        <v>15659.671232876701</v>
      </c>
      <c r="E232" s="713">
        <v>0</v>
      </c>
      <c r="F232" s="713">
        <v>184379.99999999988</v>
      </c>
      <c r="G232" s="713">
        <v>184379.99999999988</v>
      </c>
    </row>
    <row r="233" spans="1:7" x14ac:dyDescent="0.3">
      <c r="A233" s="197" t="s">
        <v>500</v>
      </c>
      <c r="B233" s="712">
        <v>45658</v>
      </c>
      <c r="C233" s="713">
        <v>40811.076666666668</v>
      </c>
      <c r="D233" s="713">
        <v>40811.076666666668</v>
      </c>
      <c r="E233" s="713">
        <v>0</v>
      </c>
      <c r="F233" s="713"/>
      <c r="G233" s="713"/>
    </row>
    <row r="234" spans="1:7" x14ac:dyDescent="0.3">
      <c r="A234" s="197" t="s">
        <v>500</v>
      </c>
      <c r="B234" s="712">
        <v>45689</v>
      </c>
      <c r="C234" s="713">
        <v>37687.396666666667</v>
      </c>
      <c r="D234" s="713">
        <v>37687.396666666667</v>
      </c>
      <c r="E234" s="713">
        <v>0</v>
      </c>
      <c r="F234" s="713"/>
      <c r="G234" s="713"/>
    </row>
    <row r="235" spans="1:7" x14ac:dyDescent="0.3">
      <c r="A235" s="197" t="s">
        <v>500</v>
      </c>
      <c r="B235" s="712">
        <v>45717</v>
      </c>
      <c r="C235" s="713">
        <v>39539.816666666666</v>
      </c>
      <c r="D235" s="713">
        <v>39539.816666666666</v>
      </c>
      <c r="E235" s="713">
        <v>0</v>
      </c>
      <c r="F235" s="713"/>
      <c r="G235" s="713"/>
    </row>
    <row r="236" spans="1:7" x14ac:dyDescent="0.3">
      <c r="A236" s="197" t="s">
        <v>500</v>
      </c>
      <c r="B236" s="712">
        <v>45748</v>
      </c>
      <c r="C236" s="713">
        <v>38922.146666666667</v>
      </c>
      <c r="D236" s="713">
        <v>38922.146666666667</v>
      </c>
      <c r="E236" s="713">
        <v>0</v>
      </c>
      <c r="F236" s="713"/>
      <c r="G236" s="713"/>
    </row>
    <row r="237" spans="1:7" x14ac:dyDescent="0.3">
      <c r="A237" s="197" t="s">
        <v>500</v>
      </c>
      <c r="B237" s="712">
        <v>45778</v>
      </c>
      <c r="C237" s="713">
        <v>43982.596666666672</v>
      </c>
      <c r="D237" s="713">
        <v>43982.596666666672</v>
      </c>
      <c r="E237" s="713">
        <v>0</v>
      </c>
      <c r="F237" s="713"/>
      <c r="G237" s="713"/>
    </row>
    <row r="238" spans="1:7" x14ac:dyDescent="0.3">
      <c r="A238" s="197" t="s">
        <v>500</v>
      </c>
      <c r="B238" s="712">
        <v>45809</v>
      </c>
      <c r="C238" s="713">
        <v>39345.856666666674</v>
      </c>
      <c r="D238" s="713">
        <v>39345.856666666674</v>
      </c>
      <c r="E238" s="713">
        <v>0</v>
      </c>
      <c r="F238" s="713"/>
      <c r="G238" s="713"/>
    </row>
    <row r="239" spans="1:7" x14ac:dyDescent="0.3">
      <c r="A239" s="197" t="s">
        <v>500</v>
      </c>
      <c r="B239" s="712">
        <v>45839</v>
      </c>
      <c r="C239" s="713">
        <v>42517.116666666669</v>
      </c>
      <c r="D239" s="713">
        <v>42517.116666666669</v>
      </c>
      <c r="E239" s="713">
        <v>0</v>
      </c>
      <c r="F239" s="713"/>
      <c r="G239" s="713"/>
    </row>
    <row r="240" spans="1:7" x14ac:dyDescent="0.3">
      <c r="A240" s="197" t="s">
        <v>500</v>
      </c>
      <c r="B240" s="712">
        <v>45870</v>
      </c>
      <c r="C240" s="713">
        <v>54665.166666666672</v>
      </c>
      <c r="D240" s="713">
        <v>54665.166666666672</v>
      </c>
      <c r="E240" s="713">
        <v>0</v>
      </c>
      <c r="F240" s="713"/>
      <c r="G240" s="713"/>
    </row>
    <row r="241" spans="1:9" x14ac:dyDescent="0.3">
      <c r="A241" s="197" t="s">
        <v>500</v>
      </c>
      <c r="B241" s="712">
        <v>45901</v>
      </c>
      <c r="C241" s="713">
        <v>40438.356666666674</v>
      </c>
      <c r="D241" s="713">
        <v>40438.356666666674</v>
      </c>
      <c r="E241" s="713">
        <v>0</v>
      </c>
      <c r="F241" s="713"/>
      <c r="G241" s="713"/>
    </row>
    <row r="242" spans="1:9" x14ac:dyDescent="0.3">
      <c r="A242" s="197" t="s">
        <v>500</v>
      </c>
      <c r="B242" s="712">
        <v>45931</v>
      </c>
      <c r="C242" s="713">
        <v>33908.51666666667</v>
      </c>
      <c r="D242" s="713">
        <v>33908.51666666667</v>
      </c>
      <c r="E242" s="713">
        <v>0</v>
      </c>
      <c r="F242" s="713"/>
      <c r="G242" s="713"/>
    </row>
    <row r="243" spans="1:9" x14ac:dyDescent="0.3">
      <c r="A243" s="197" t="s">
        <v>500</v>
      </c>
      <c r="B243" s="712">
        <v>45962</v>
      </c>
      <c r="C243" s="713">
        <v>39963.436666666661</v>
      </c>
      <c r="D243" s="713">
        <v>39963.436666666661</v>
      </c>
      <c r="E243" s="713">
        <v>0</v>
      </c>
      <c r="F243" s="713"/>
      <c r="G243" s="713"/>
    </row>
    <row r="244" spans="1:9" x14ac:dyDescent="0.3">
      <c r="A244" s="197" t="s">
        <v>500</v>
      </c>
      <c r="B244" s="712">
        <v>45992</v>
      </c>
      <c r="C244" s="713">
        <v>40270.126666666671</v>
      </c>
      <c r="D244" s="713">
        <v>40270.126666666671</v>
      </c>
      <c r="E244" s="713">
        <v>0</v>
      </c>
      <c r="F244" s="779">
        <v>492051.61000000004</v>
      </c>
      <c r="G244" s="779">
        <v>483117.7</v>
      </c>
      <c r="H244" s="783">
        <v>8933.91</v>
      </c>
    </row>
    <row r="245" spans="1:9" x14ac:dyDescent="0.3">
      <c r="A245" s="197" t="s">
        <v>837</v>
      </c>
      <c r="B245" s="712">
        <v>45839</v>
      </c>
      <c r="C245" s="713">
        <v>47480.543478260901</v>
      </c>
      <c r="D245" s="713">
        <v>47480.543478260901</v>
      </c>
      <c r="E245" s="713">
        <v>0</v>
      </c>
      <c r="F245" s="713"/>
      <c r="G245" s="713"/>
    </row>
    <row r="246" spans="1:9" x14ac:dyDescent="0.3">
      <c r="A246" s="197" t="s">
        <v>837</v>
      </c>
      <c r="B246" s="712">
        <v>45870</v>
      </c>
      <c r="C246" s="713">
        <v>47480.543478260901</v>
      </c>
      <c r="D246" s="713">
        <v>47480.543478260901</v>
      </c>
      <c r="E246" s="713">
        <v>0</v>
      </c>
      <c r="F246" s="713"/>
      <c r="G246" s="713"/>
    </row>
    <row r="247" spans="1:9" x14ac:dyDescent="0.3">
      <c r="A247" s="197" t="s">
        <v>837</v>
      </c>
      <c r="B247" s="712">
        <v>45901</v>
      </c>
      <c r="C247" s="713">
        <v>45948.9130434783</v>
      </c>
      <c r="D247" s="713">
        <v>45948.9130434783</v>
      </c>
      <c r="E247" s="713">
        <v>0</v>
      </c>
      <c r="F247" s="713"/>
      <c r="G247" s="713"/>
    </row>
    <row r="248" spans="1:9" x14ac:dyDescent="0.3">
      <c r="A248" s="197" t="s">
        <v>837</v>
      </c>
      <c r="B248" s="712">
        <v>45931</v>
      </c>
      <c r="C248" s="713">
        <v>47480.543478260901</v>
      </c>
      <c r="D248" s="713">
        <v>47480.543478260901</v>
      </c>
      <c r="E248" s="713">
        <v>0</v>
      </c>
      <c r="F248" s="713"/>
      <c r="G248" s="713"/>
    </row>
    <row r="249" spans="1:9" x14ac:dyDescent="0.3">
      <c r="A249" s="197" t="s">
        <v>837</v>
      </c>
      <c r="B249" s="712">
        <v>45962</v>
      </c>
      <c r="C249" s="713">
        <v>45948.9130434783</v>
      </c>
      <c r="D249" s="713">
        <v>45948.9130434783</v>
      </c>
      <c r="E249" s="713">
        <v>0</v>
      </c>
      <c r="F249" s="713"/>
      <c r="G249" s="713"/>
    </row>
    <row r="250" spans="1:9" x14ac:dyDescent="0.3">
      <c r="A250" s="197" t="s">
        <v>837</v>
      </c>
      <c r="B250" s="712">
        <v>45992</v>
      </c>
      <c r="C250" s="713">
        <v>47480.543478260901</v>
      </c>
      <c r="D250" s="713">
        <v>47480.543478260901</v>
      </c>
      <c r="E250" s="713">
        <v>0</v>
      </c>
      <c r="F250" s="713">
        <v>0</v>
      </c>
    </row>
    <row r="251" spans="1:9" x14ac:dyDescent="0.3">
      <c r="A251" s="197"/>
      <c r="B251" s="712"/>
      <c r="C251" s="713"/>
      <c r="D251" s="713"/>
      <c r="E251" s="716" t="s">
        <v>972</v>
      </c>
      <c r="F251" s="716">
        <f>SUM(F50:F250)</f>
        <v>5715626.698685836</v>
      </c>
      <c r="G251" s="716">
        <f t="shared" ref="G251:H251" si="0">SUM(G50:G250)</f>
        <v>5627964.488262252</v>
      </c>
      <c r="H251" s="716">
        <f t="shared" si="0"/>
        <v>87662.17</v>
      </c>
      <c r="I251" s="781"/>
    </row>
    <row r="252" spans="1:9" x14ac:dyDescent="0.3">
      <c r="F252" s="196">
        <f>SUM(G252:H252)</f>
        <v>5715626.6582622519</v>
      </c>
      <c r="G252" s="782">
        <f>SUM(G50:G250)</f>
        <v>5627964.488262252</v>
      </c>
      <c r="H252" s="782">
        <f>SUM(H50:H249)</f>
        <v>87662.17</v>
      </c>
    </row>
    <row r="254" spans="1:9" x14ac:dyDescent="0.3">
      <c r="G254" s="781"/>
    </row>
  </sheetData>
  <mergeCells count="2">
    <mergeCell ref="A15:H15"/>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DEF25-1A57-4987-9738-855C4F3E0AC1}">
  <dimension ref="A1:N101"/>
  <sheetViews>
    <sheetView workbookViewId="0">
      <selection activeCell="I18" sqref="I18"/>
    </sheetView>
  </sheetViews>
  <sheetFormatPr defaultRowHeight="14.4" x14ac:dyDescent="0.3"/>
  <cols>
    <col min="1" max="3" width="15.77734375" customWidth="1"/>
    <col min="4" max="7" width="16.109375" customWidth="1"/>
    <col min="8" max="8" width="29.5546875" customWidth="1"/>
    <col min="9" max="9" width="16" customWidth="1"/>
    <col min="10" max="10" width="9.109375" bestFit="1" customWidth="1"/>
    <col min="12" max="12" width="36.109375" customWidth="1"/>
    <col min="13" max="13" width="14.109375" customWidth="1"/>
  </cols>
  <sheetData>
    <row r="1" spans="1:14" ht="21" x14ac:dyDescent="0.4">
      <c r="A1" s="862" t="s">
        <v>982</v>
      </c>
      <c r="B1" s="862"/>
      <c r="C1" s="862"/>
      <c r="D1" s="862"/>
      <c r="E1" s="862"/>
      <c r="F1" s="862"/>
      <c r="G1" s="862"/>
      <c r="H1" s="53">
        <v>1E-3</v>
      </c>
      <c r="I1" s="53" t="s">
        <v>958</v>
      </c>
      <c r="J1" s="53"/>
      <c r="K1" s="53"/>
    </row>
    <row r="2" spans="1:14" ht="57.6" x14ac:dyDescent="0.3">
      <c r="A2" s="636" t="s">
        <v>959</v>
      </c>
      <c r="B2" s="636" t="s">
        <v>960</v>
      </c>
      <c r="C2" s="636" t="s">
        <v>961</v>
      </c>
      <c r="D2" s="636" t="s">
        <v>962</v>
      </c>
      <c r="E2" s="636" t="s">
        <v>983</v>
      </c>
      <c r="F2" s="636" t="s">
        <v>963</v>
      </c>
      <c r="G2" s="636" t="s">
        <v>984</v>
      </c>
      <c r="H2" s="636" t="s">
        <v>985</v>
      </c>
      <c r="I2" s="53"/>
      <c r="J2" s="53"/>
      <c r="K2" s="53"/>
    </row>
    <row r="3" spans="1:14" ht="16.8" x14ac:dyDescent="0.35">
      <c r="A3" s="53" t="s">
        <v>453</v>
      </c>
      <c r="B3" s="523">
        <v>422168.34</v>
      </c>
      <c r="C3" s="523">
        <v>422168.34</v>
      </c>
      <c r="D3" s="53">
        <v>0</v>
      </c>
      <c r="E3" s="53">
        <v>0.163963636</v>
      </c>
      <c r="F3" s="523">
        <v>69220.259999999995</v>
      </c>
      <c r="G3" s="53">
        <v>0</v>
      </c>
      <c r="H3" s="774">
        <v>69.220256180000007</v>
      </c>
      <c r="I3" s="53"/>
      <c r="J3" s="53"/>
      <c r="K3" s="53"/>
      <c r="L3" t="s">
        <v>736</v>
      </c>
      <c r="M3" t="s">
        <v>737</v>
      </c>
      <c r="N3" s="409">
        <f>SUM(H13+I30)/'2025 Asset list '!G28</f>
        <v>1.5248026930973655E-2</v>
      </c>
    </row>
    <row r="4" spans="1:14" ht="16.8" x14ac:dyDescent="0.35">
      <c r="A4" s="53" t="s">
        <v>497</v>
      </c>
      <c r="B4" s="523">
        <v>430570.14</v>
      </c>
      <c r="C4" s="523">
        <v>430570.14</v>
      </c>
      <c r="D4" s="53">
        <v>0</v>
      </c>
      <c r="E4" s="53">
        <v>0.163963636</v>
      </c>
      <c r="F4" s="523">
        <v>70597.850000000006</v>
      </c>
      <c r="G4" s="53">
        <v>0</v>
      </c>
      <c r="H4" s="774">
        <v>70.597845860000007</v>
      </c>
      <c r="I4" s="53"/>
      <c r="J4" s="53"/>
      <c r="K4" s="53"/>
      <c r="L4" t="s">
        <v>986</v>
      </c>
      <c r="M4" t="s">
        <v>737</v>
      </c>
    </row>
    <row r="5" spans="1:14" x14ac:dyDescent="0.3">
      <c r="A5" s="53" t="s">
        <v>502</v>
      </c>
      <c r="B5" s="523">
        <v>153752.94</v>
      </c>
      <c r="C5" s="523">
        <v>153752.94</v>
      </c>
      <c r="D5" s="53">
        <v>0</v>
      </c>
      <c r="E5" s="53">
        <v>0.163963636</v>
      </c>
      <c r="F5" s="523">
        <v>25209.89</v>
      </c>
      <c r="G5" s="53">
        <v>0</v>
      </c>
      <c r="H5" s="774">
        <v>25.20989114</v>
      </c>
      <c r="I5" s="53"/>
      <c r="J5" s="53"/>
      <c r="K5" s="53"/>
    </row>
    <row r="6" spans="1:14" x14ac:dyDescent="0.3">
      <c r="A6" s="53" t="s">
        <v>499</v>
      </c>
      <c r="B6" s="523">
        <v>49946.49</v>
      </c>
      <c r="C6" s="523">
        <v>49946.49</v>
      </c>
      <c r="D6" s="53">
        <v>0</v>
      </c>
      <c r="E6" s="53">
        <v>0.163963636</v>
      </c>
      <c r="F6" s="523">
        <v>8189.41</v>
      </c>
      <c r="G6" s="53">
        <v>0</v>
      </c>
      <c r="H6" s="774">
        <v>8.1894081239999998</v>
      </c>
      <c r="I6" s="53"/>
      <c r="J6" s="53"/>
      <c r="K6" s="53"/>
    </row>
    <row r="7" spans="1:14" x14ac:dyDescent="0.3">
      <c r="A7" s="53" t="s">
        <v>463</v>
      </c>
      <c r="B7" s="523">
        <v>41345.72</v>
      </c>
      <c r="C7" s="523">
        <v>41345.72</v>
      </c>
      <c r="D7" s="53">
        <v>0</v>
      </c>
      <c r="E7" s="53">
        <v>0.163963636</v>
      </c>
      <c r="F7" s="523">
        <v>6779.19</v>
      </c>
      <c r="G7" s="53">
        <v>0</v>
      </c>
      <c r="H7" s="774">
        <v>6.7791937789999999</v>
      </c>
      <c r="I7" s="53"/>
      <c r="J7" s="53"/>
      <c r="K7" s="53"/>
    </row>
    <row r="8" spans="1:14" x14ac:dyDescent="0.3">
      <c r="A8" s="53" t="s">
        <v>460</v>
      </c>
      <c r="B8" s="523">
        <v>128425.94</v>
      </c>
      <c r="C8" s="523">
        <v>128425.94</v>
      </c>
      <c r="D8" s="53">
        <v>0</v>
      </c>
      <c r="E8" s="53">
        <v>0.163963636</v>
      </c>
      <c r="F8" s="523">
        <v>21057.18</v>
      </c>
      <c r="G8" s="53">
        <v>0</v>
      </c>
      <c r="H8" s="774">
        <v>21.057183309999999</v>
      </c>
      <c r="I8" s="53"/>
      <c r="J8" s="53"/>
      <c r="K8" s="53"/>
    </row>
    <row r="9" spans="1:14" x14ac:dyDescent="0.3">
      <c r="A9" s="771" t="s">
        <v>461</v>
      </c>
      <c r="B9" s="772">
        <v>523858.86</v>
      </c>
      <c r="C9" s="772">
        <v>523858.86</v>
      </c>
      <c r="D9" s="771">
        <v>0</v>
      </c>
      <c r="E9" s="771">
        <v>0.163963636</v>
      </c>
      <c r="F9" s="772">
        <v>85893.8</v>
      </c>
      <c r="G9" s="771">
        <v>0</v>
      </c>
      <c r="H9" s="775">
        <v>85.893804169999996</v>
      </c>
      <c r="I9" s="53" t="s">
        <v>987</v>
      </c>
      <c r="J9" s="53"/>
      <c r="K9" s="53"/>
    </row>
    <row r="10" spans="1:14" x14ac:dyDescent="0.3">
      <c r="A10" s="771" t="s">
        <v>462</v>
      </c>
      <c r="B10" s="772">
        <v>356057.23</v>
      </c>
      <c r="C10" s="772">
        <v>356057.23</v>
      </c>
      <c r="D10" s="771">
        <v>0</v>
      </c>
      <c r="E10" s="771">
        <v>0.163963636</v>
      </c>
      <c r="F10" s="772">
        <v>58380.44</v>
      </c>
      <c r="G10" s="771">
        <v>0</v>
      </c>
      <c r="H10" s="775">
        <v>58.380438130000002</v>
      </c>
      <c r="I10" s="53" t="s">
        <v>988</v>
      </c>
      <c r="J10" s="53"/>
      <c r="K10" s="53"/>
    </row>
    <row r="11" spans="1:14" x14ac:dyDescent="0.3">
      <c r="A11" s="53" t="s">
        <v>500</v>
      </c>
      <c r="B11" s="523">
        <v>260190.48</v>
      </c>
      <c r="C11" s="523">
        <v>260190.48</v>
      </c>
      <c r="D11" s="53">
        <v>0</v>
      </c>
      <c r="E11" s="53">
        <v>0.163963636</v>
      </c>
      <c r="F11" s="523">
        <v>42661.78</v>
      </c>
      <c r="G11" s="53">
        <v>0</v>
      </c>
      <c r="H11" s="774">
        <v>42.66177725</v>
      </c>
      <c r="I11" s="53"/>
      <c r="J11" s="53"/>
      <c r="K11" s="53"/>
    </row>
    <row r="12" spans="1:14" x14ac:dyDescent="0.3">
      <c r="A12" s="53"/>
      <c r="B12" s="53"/>
      <c r="C12" s="53"/>
      <c r="D12" s="53"/>
      <c r="E12" s="53"/>
      <c r="F12" s="53"/>
      <c r="G12" s="53" t="s">
        <v>989</v>
      </c>
      <c r="H12" s="776">
        <f>SUM(H3:H11)</f>
        <v>387.98979794300004</v>
      </c>
      <c r="I12" s="53" t="s">
        <v>950</v>
      </c>
      <c r="J12" s="53" t="s">
        <v>990</v>
      </c>
      <c r="K12" s="53"/>
    </row>
    <row r="13" spans="1:14" x14ac:dyDescent="0.3">
      <c r="A13" s="53"/>
      <c r="B13" s="53"/>
      <c r="C13" s="53"/>
      <c r="D13" s="53"/>
      <c r="E13" s="53"/>
      <c r="F13" s="53"/>
      <c r="G13" s="53" t="s">
        <v>991</v>
      </c>
      <c r="H13" s="53">
        <v>366.93</v>
      </c>
      <c r="I13" s="53" t="s">
        <v>950</v>
      </c>
      <c r="J13" s="53"/>
      <c r="K13" s="53"/>
    </row>
    <row r="15" spans="1:14" ht="21" x14ac:dyDescent="0.4">
      <c r="A15" s="862" t="s">
        <v>957</v>
      </c>
      <c r="B15" s="862"/>
      <c r="C15" s="862"/>
      <c r="D15" s="862"/>
      <c r="E15" s="862"/>
      <c r="F15" s="862"/>
      <c r="G15" s="862"/>
      <c r="H15" s="862"/>
      <c r="I15" s="53">
        <v>1E-3</v>
      </c>
      <c r="J15" s="53" t="s">
        <v>958</v>
      </c>
      <c r="K15" s="53"/>
      <c r="L15" s="53"/>
      <c r="M15" s="53"/>
    </row>
    <row r="16" spans="1:14" s="146" customFormat="1" ht="57.6" x14ac:dyDescent="0.3">
      <c r="A16" s="641" t="s">
        <v>959</v>
      </c>
      <c r="B16" s="642" t="s">
        <v>960</v>
      </c>
      <c r="C16" s="642" t="s">
        <v>961</v>
      </c>
      <c r="D16" s="642" t="s">
        <v>962</v>
      </c>
      <c r="E16" s="642" t="s">
        <v>963</v>
      </c>
      <c r="F16" s="642" t="s">
        <v>964</v>
      </c>
      <c r="G16" s="642" t="s">
        <v>965</v>
      </c>
      <c r="H16" s="643" t="s">
        <v>966</v>
      </c>
      <c r="I16" s="569" t="s">
        <v>967</v>
      </c>
      <c r="J16" s="569"/>
      <c r="K16" s="569"/>
      <c r="L16" s="569"/>
      <c r="M16" s="569"/>
    </row>
    <row r="17" spans="1:13" x14ac:dyDescent="0.3">
      <c r="A17" s="638" t="s">
        <v>453</v>
      </c>
      <c r="B17" s="639">
        <v>264603</v>
      </c>
      <c r="C17" s="639">
        <v>264603</v>
      </c>
      <c r="D17" s="53">
        <v>0</v>
      </c>
      <c r="E17" s="523">
        <v>66918.12</v>
      </c>
      <c r="F17" s="53">
        <v>0</v>
      </c>
      <c r="G17" s="53">
        <v>0</v>
      </c>
      <c r="H17" s="640">
        <v>0</v>
      </c>
      <c r="I17" s="53">
        <v>66.918116060000003</v>
      </c>
      <c r="J17" s="762"/>
      <c r="K17" s="53"/>
      <c r="M17" s="53"/>
    </row>
    <row r="18" spans="1:13" x14ac:dyDescent="0.3">
      <c r="A18" s="638" t="s">
        <v>497</v>
      </c>
      <c r="B18" s="639">
        <v>438886</v>
      </c>
      <c r="C18" s="639">
        <v>438886</v>
      </c>
      <c r="D18" s="53">
        <v>0</v>
      </c>
      <c r="E18" s="523">
        <v>110994.26</v>
      </c>
      <c r="F18" s="53">
        <v>0</v>
      </c>
      <c r="G18" s="53">
        <v>0</v>
      </c>
      <c r="H18" s="640">
        <v>0</v>
      </c>
      <c r="I18" s="53">
        <v>110.9942628</v>
      </c>
      <c r="J18" s="762"/>
      <c r="K18" s="53"/>
      <c r="M18" s="53"/>
    </row>
    <row r="19" spans="1:13" x14ac:dyDescent="0.3">
      <c r="A19" s="638" t="s">
        <v>502</v>
      </c>
      <c r="B19" s="639">
        <v>197350</v>
      </c>
      <c r="C19" s="639">
        <v>197350</v>
      </c>
      <c r="D19" s="53">
        <v>0</v>
      </c>
      <c r="E19" s="523">
        <v>49909.89</v>
      </c>
      <c r="F19" s="53">
        <v>0</v>
      </c>
      <c r="G19" s="53">
        <v>0</v>
      </c>
      <c r="H19" s="640">
        <v>0</v>
      </c>
      <c r="I19" s="53">
        <v>49.909891250000001</v>
      </c>
      <c r="J19" s="762"/>
      <c r="K19" s="53"/>
      <c r="M19" s="53"/>
    </row>
    <row r="20" spans="1:13" x14ac:dyDescent="0.3">
      <c r="A20" s="638" t="s">
        <v>499</v>
      </c>
      <c r="B20" s="639">
        <v>186524</v>
      </c>
      <c r="C20" s="639">
        <v>186524</v>
      </c>
      <c r="D20" s="53">
        <v>0</v>
      </c>
      <c r="E20" s="523">
        <v>47172</v>
      </c>
      <c r="F20" s="53">
        <v>0</v>
      </c>
      <c r="G20" s="53">
        <v>0</v>
      </c>
      <c r="H20" s="640">
        <v>0</v>
      </c>
      <c r="I20" s="53">
        <v>47.172000429999997</v>
      </c>
      <c r="J20" s="762"/>
      <c r="K20" s="53"/>
      <c r="L20" s="762"/>
      <c r="M20" s="53"/>
    </row>
    <row r="21" spans="1:13" x14ac:dyDescent="0.3">
      <c r="A21" s="638" t="s">
        <v>463</v>
      </c>
      <c r="B21" s="639">
        <v>6381</v>
      </c>
      <c r="C21" s="639">
        <v>6381</v>
      </c>
      <c r="D21" s="53">
        <v>0</v>
      </c>
      <c r="E21" s="523">
        <v>1613.81</v>
      </c>
      <c r="F21" s="53">
        <v>0</v>
      </c>
      <c r="G21" s="53">
        <v>0</v>
      </c>
      <c r="H21" s="640">
        <v>0</v>
      </c>
      <c r="I21" s="53">
        <v>1.6138053809999999</v>
      </c>
      <c r="J21" s="762"/>
      <c r="K21" s="53"/>
      <c r="M21" s="53"/>
    </row>
    <row r="22" spans="1:13" x14ac:dyDescent="0.3">
      <c r="A22" s="638" t="s">
        <v>460</v>
      </c>
      <c r="B22" s="639">
        <v>42869</v>
      </c>
      <c r="C22" s="639">
        <v>42869</v>
      </c>
      <c r="D22" s="53">
        <v>0</v>
      </c>
      <c r="E22" s="523">
        <v>10841.52</v>
      </c>
      <c r="F22" s="53">
        <v>0</v>
      </c>
      <c r="G22" s="53">
        <v>0</v>
      </c>
      <c r="H22" s="640">
        <v>0</v>
      </c>
      <c r="I22" s="53">
        <v>10.841519269999999</v>
      </c>
      <c r="J22" s="762"/>
      <c r="K22" s="53"/>
      <c r="M22" s="53"/>
    </row>
    <row r="23" spans="1:13" x14ac:dyDescent="0.3">
      <c r="A23" s="638" t="s">
        <v>456</v>
      </c>
      <c r="B23" s="639">
        <v>64614</v>
      </c>
      <c r="C23" s="639">
        <v>64614</v>
      </c>
      <c r="D23" s="53">
        <v>0</v>
      </c>
      <c r="E23" s="523">
        <v>16340.88</v>
      </c>
      <c r="F23" s="53">
        <v>0</v>
      </c>
      <c r="G23" s="53">
        <v>0</v>
      </c>
      <c r="H23" s="640">
        <v>0</v>
      </c>
      <c r="I23" s="53">
        <v>16.340880599999998</v>
      </c>
      <c r="J23" s="762"/>
      <c r="K23" s="53"/>
      <c r="M23" s="53"/>
    </row>
    <row r="24" spans="1:13" x14ac:dyDescent="0.3">
      <c r="A24" s="638" t="s">
        <v>968</v>
      </c>
      <c r="B24" s="639">
        <v>7849</v>
      </c>
      <c r="C24" s="639">
        <v>7849</v>
      </c>
      <c r="D24" s="53">
        <v>0</v>
      </c>
      <c r="E24" s="523">
        <v>1985.06</v>
      </c>
      <c r="F24" s="53">
        <v>0</v>
      </c>
      <c r="G24" s="53">
        <v>0</v>
      </c>
      <c r="H24" s="640">
        <v>0</v>
      </c>
      <c r="I24" s="53">
        <v>1.98506268</v>
      </c>
      <c r="J24" s="762"/>
      <c r="K24" s="53"/>
      <c r="M24" s="53"/>
    </row>
    <row r="25" spans="1:13" x14ac:dyDescent="0.3">
      <c r="A25" s="769" t="s">
        <v>461</v>
      </c>
      <c r="B25" s="770">
        <v>298811</v>
      </c>
      <c r="C25" s="770">
        <v>298811</v>
      </c>
      <c r="D25" s="771">
        <v>0</v>
      </c>
      <c r="E25" s="772">
        <v>75569.399999999994</v>
      </c>
      <c r="F25" s="771">
        <v>0</v>
      </c>
      <c r="G25" s="771">
        <v>0</v>
      </c>
      <c r="H25" s="773">
        <v>0</v>
      </c>
      <c r="I25" s="771">
        <v>75.569403089999994</v>
      </c>
      <c r="J25" s="53" t="s">
        <v>987</v>
      </c>
      <c r="K25" s="53"/>
      <c r="M25" s="53"/>
    </row>
    <row r="26" spans="1:13" x14ac:dyDescent="0.3">
      <c r="A26" s="769" t="s">
        <v>462</v>
      </c>
      <c r="B26" s="770">
        <v>249675</v>
      </c>
      <c r="C26" s="770">
        <v>249675</v>
      </c>
      <c r="D26" s="771">
        <v>0</v>
      </c>
      <c r="E26" s="772">
        <v>63142.85</v>
      </c>
      <c r="F26" s="771">
        <v>0</v>
      </c>
      <c r="G26" s="771">
        <v>0</v>
      </c>
      <c r="H26" s="773">
        <v>0</v>
      </c>
      <c r="I26" s="771">
        <v>63.142847889999999</v>
      </c>
      <c r="J26" s="53" t="s">
        <v>988</v>
      </c>
      <c r="K26" s="53"/>
      <c r="L26" s="762">
        <v>29.68</v>
      </c>
      <c r="M26" s="53"/>
    </row>
    <row r="27" spans="1:13" x14ac:dyDescent="0.3">
      <c r="A27" s="769" t="s">
        <v>500</v>
      </c>
      <c r="B27" s="770">
        <v>886988</v>
      </c>
      <c r="C27" s="770">
        <v>886988</v>
      </c>
      <c r="D27" s="771">
        <v>0</v>
      </c>
      <c r="E27" s="772">
        <v>224319.33</v>
      </c>
      <c r="F27" s="771">
        <v>0</v>
      </c>
      <c r="G27" s="771">
        <v>0</v>
      </c>
      <c r="H27" s="773">
        <v>0</v>
      </c>
      <c r="I27" s="771">
        <v>224.3193316</v>
      </c>
      <c r="J27" s="53" t="s">
        <v>987</v>
      </c>
      <c r="K27" s="53"/>
      <c r="M27" s="53"/>
    </row>
    <row r="28" spans="1:13" x14ac:dyDescent="0.3">
      <c r="A28" s="638" t="s">
        <v>837</v>
      </c>
      <c r="B28" s="639">
        <v>117392</v>
      </c>
      <c r="C28" s="639">
        <v>117392</v>
      </c>
      <c r="D28" s="53">
        <v>0</v>
      </c>
      <c r="E28" s="523">
        <v>29688.44</v>
      </c>
      <c r="F28" s="53">
        <v>0</v>
      </c>
      <c r="G28" s="53">
        <v>0</v>
      </c>
      <c r="H28" s="640">
        <v>0</v>
      </c>
      <c r="I28" s="53">
        <v>29.688436800000002</v>
      </c>
      <c r="J28" s="762"/>
      <c r="K28" s="53"/>
      <c r="M28" s="53"/>
    </row>
    <row r="29" spans="1:13" x14ac:dyDescent="0.3">
      <c r="A29" s="638" t="s">
        <v>356</v>
      </c>
      <c r="B29" s="53"/>
      <c r="C29" s="53"/>
      <c r="D29" s="53"/>
      <c r="E29" s="53"/>
      <c r="F29" s="53"/>
      <c r="G29" s="53"/>
      <c r="H29" s="640" t="s">
        <v>969</v>
      </c>
      <c r="I29" s="637">
        <f>SUM(I17:I28)</f>
        <v>698.49555785099994</v>
      </c>
      <c r="J29" s="637" t="s">
        <v>950</v>
      </c>
      <c r="K29" s="637" t="s">
        <v>992</v>
      </c>
      <c r="L29" s="637"/>
      <c r="M29" s="637"/>
    </row>
    <row r="30" spans="1:13" x14ac:dyDescent="0.3">
      <c r="A30" s="638" t="s">
        <v>356</v>
      </c>
      <c r="B30" s="53"/>
      <c r="C30" s="53"/>
      <c r="D30" s="53"/>
      <c r="E30" s="53"/>
      <c r="F30" s="53"/>
      <c r="G30" s="53"/>
      <c r="H30" s="640" t="s">
        <v>970</v>
      </c>
      <c r="I30" s="53">
        <v>687.65403860000004</v>
      </c>
      <c r="J30" s="637" t="s">
        <v>950</v>
      </c>
      <c r="K30" s="637"/>
      <c r="L30" s="53"/>
      <c r="M30" s="53"/>
    </row>
    <row r="31" spans="1:13" x14ac:dyDescent="0.3">
      <c r="A31" s="638" t="s">
        <v>356</v>
      </c>
      <c r="B31" s="53"/>
      <c r="C31" s="53"/>
      <c r="D31" s="53"/>
      <c r="E31" s="53"/>
      <c r="F31" s="53"/>
      <c r="G31" s="53"/>
      <c r="H31" s="640" t="s">
        <v>356</v>
      </c>
      <c r="I31" s="53"/>
      <c r="J31" s="53"/>
      <c r="K31" s="53"/>
      <c r="L31" s="53"/>
      <c r="M31" s="53"/>
    </row>
    <row r="34" spans="1:4" x14ac:dyDescent="0.3">
      <c r="A34" t="s">
        <v>993</v>
      </c>
    </row>
    <row r="35" spans="1:4" x14ac:dyDescent="0.3">
      <c r="A35" s="647"/>
      <c r="B35" s="647"/>
      <c r="C35" s="648"/>
      <c r="D35" s="649" t="s">
        <v>994</v>
      </c>
    </row>
    <row r="36" spans="1:4" ht="28.8" x14ac:dyDescent="0.3">
      <c r="A36" s="650" t="s">
        <v>995</v>
      </c>
      <c r="B36" s="650" t="s">
        <v>996</v>
      </c>
      <c r="C36" s="651" t="s">
        <v>997</v>
      </c>
      <c r="D36" s="652" t="s">
        <v>998</v>
      </c>
    </row>
    <row r="37" spans="1:4" x14ac:dyDescent="0.3">
      <c r="A37" s="863" t="s">
        <v>999</v>
      </c>
      <c r="B37" s="865" t="s">
        <v>1000</v>
      </c>
      <c r="C37" s="865" t="s">
        <v>1001</v>
      </c>
      <c r="D37" s="653">
        <v>756.23</v>
      </c>
    </row>
    <row r="38" spans="1:4" x14ac:dyDescent="0.3">
      <c r="A38" s="864"/>
      <c r="B38" s="866"/>
      <c r="C38" s="866"/>
      <c r="D38" s="653">
        <v>662.27</v>
      </c>
    </row>
    <row r="39" spans="1:4" ht="43.2" x14ac:dyDescent="0.3">
      <c r="A39" s="650" t="s">
        <v>1002</v>
      </c>
      <c r="B39" s="654" t="s">
        <v>1003</v>
      </c>
      <c r="C39" s="654" t="s">
        <v>1004</v>
      </c>
      <c r="D39" s="655">
        <v>18916.22</v>
      </c>
    </row>
    <row r="40" spans="1:4" ht="86.4" x14ac:dyDescent="0.3">
      <c r="A40" s="650" t="s">
        <v>1005</v>
      </c>
      <c r="B40" s="654" t="s">
        <v>1006</v>
      </c>
      <c r="C40" s="654" t="s">
        <v>1007</v>
      </c>
      <c r="D40" s="653">
        <v>215.39</v>
      </c>
    </row>
    <row r="41" spans="1:4" ht="57.6" x14ac:dyDescent="0.3">
      <c r="A41" s="650" t="s">
        <v>1008</v>
      </c>
      <c r="B41" s="654" t="s">
        <v>1009</v>
      </c>
      <c r="C41" s="654" t="s">
        <v>1010</v>
      </c>
      <c r="D41" s="653">
        <v>2E-3</v>
      </c>
    </row>
    <row r="42" spans="1:4" ht="43.2" x14ac:dyDescent="0.3">
      <c r="A42" s="650" t="s">
        <v>1011</v>
      </c>
      <c r="B42" s="654" t="s">
        <v>1012</v>
      </c>
      <c r="C42" s="654" t="s">
        <v>1013</v>
      </c>
      <c r="D42" s="653">
        <v>50.92</v>
      </c>
    </row>
    <row r="43" spans="1:4" ht="28.8" x14ac:dyDescent="0.3">
      <c r="A43" s="650" t="s">
        <v>1014</v>
      </c>
      <c r="B43" s="654" t="s">
        <v>1015</v>
      </c>
      <c r="C43" s="654" t="s">
        <v>1016</v>
      </c>
      <c r="D43" s="653">
        <v>23.4</v>
      </c>
    </row>
    <row r="44" spans="1:4" ht="43.2" x14ac:dyDescent="0.3">
      <c r="A44" s="650" t="s">
        <v>1017</v>
      </c>
      <c r="B44" s="654" t="s">
        <v>699</v>
      </c>
      <c r="C44" s="654" t="s">
        <v>1018</v>
      </c>
      <c r="D44" s="653">
        <v>19.73</v>
      </c>
    </row>
    <row r="45" spans="1:4" ht="43.2" x14ac:dyDescent="0.3">
      <c r="A45" s="650" t="s">
        <v>1019</v>
      </c>
      <c r="B45" s="654" t="s">
        <v>1020</v>
      </c>
      <c r="C45" s="654" t="s">
        <v>1021</v>
      </c>
      <c r="D45" s="656" t="s">
        <v>1022</v>
      </c>
    </row>
    <row r="46" spans="1:4" ht="57.6" x14ac:dyDescent="0.3">
      <c r="A46" s="650" t="s">
        <v>1023</v>
      </c>
      <c r="B46" s="654" t="s">
        <v>1024</v>
      </c>
      <c r="C46" s="654" t="s">
        <v>1025</v>
      </c>
      <c r="D46" s="653">
        <v>0.125</v>
      </c>
    </row>
    <row r="47" spans="1:4" ht="43.2" x14ac:dyDescent="0.3">
      <c r="A47" s="650" t="s">
        <v>1026</v>
      </c>
      <c r="B47" s="654" t="s">
        <v>1027</v>
      </c>
      <c r="C47" s="654" t="s">
        <v>1028</v>
      </c>
      <c r="D47" s="656" t="s">
        <v>1022</v>
      </c>
    </row>
    <row r="48" spans="1:4" ht="28.8" x14ac:dyDescent="0.3">
      <c r="A48" s="650" t="s">
        <v>1029</v>
      </c>
      <c r="B48" s="654" t="s">
        <v>1030</v>
      </c>
      <c r="C48" s="654" t="s">
        <v>1031</v>
      </c>
      <c r="D48" s="656" t="s">
        <v>1022</v>
      </c>
    </row>
    <row r="49" spans="1:12" ht="43.2" x14ac:dyDescent="0.3">
      <c r="A49" s="650" t="s">
        <v>1032</v>
      </c>
      <c r="B49" s="654" t="s">
        <v>1033</v>
      </c>
      <c r="C49" s="654" t="s">
        <v>1034</v>
      </c>
      <c r="D49" s="656" t="s">
        <v>1022</v>
      </c>
    </row>
    <row r="50" spans="1:12" ht="43.2" x14ac:dyDescent="0.3">
      <c r="A50" s="650" t="s">
        <v>1035</v>
      </c>
      <c r="B50" s="654" t="s">
        <v>1036</v>
      </c>
      <c r="C50" s="654" t="s">
        <v>1037</v>
      </c>
      <c r="D50" s="655">
        <v>2421.0700000000002</v>
      </c>
    </row>
    <row r="51" spans="1:12" ht="28.8" x14ac:dyDescent="0.3">
      <c r="A51" s="650" t="s">
        <v>1038</v>
      </c>
      <c r="B51" s="654" t="s">
        <v>1039</v>
      </c>
      <c r="C51" s="654" t="s">
        <v>1040</v>
      </c>
      <c r="D51" s="656" t="s">
        <v>1022</v>
      </c>
    </row>
    <row r="52" spans="1:12" ht="28.8" x14ac:dyDescent="0.3">
      <c r="A52" s="650" t="s">
        <v>1041</v>
      </c>
      <c r="B52" s="654" t="s">
        <v>1042</v>
      </c>
      <c r="C52" s="654" t="s">
        <v>1043</v>
      </c>
      <c r="D52" s="656" t="s">
        <v>1022</v>
      </c>
    </row>
    <row r="53" spans="1:12" ht="28.8" x14ac:dyDescent="0.3">
      <c r="A53" s="657" t="s">
        <v>1044</v>
      </c>
      <c r="B53" s="654"/>
      <c r="C53" s="654"/>
      <c r="D53" s="653">
        <v>28.52</v>
      </c>
    </row>
    <row r="54" spans="1:12" x14ac:dyDescent="0.3">
      <c r="A54" s="658"/>
      <c r="B54" s="650" t="s">
        <v>1045</v>
      </c>
      <c r="C54" s="651"/>
      <c r="D54" s="659">
        <v>23071</v>
      </c>
    </row>
    <row r="55" spans="1:12" x14ac:dyDescent="0.3">
      <c r="A55" s="660"/>
      <c r="B55" s="660"/>
      <c r="C55" s="661"/>
      <c r="D55" s="660"/>
    </row>
    <row r="56" spans="1:12" x14ac:dyDescent="0.3">
      <c r="A56" s="660"/>
      <c r="B56" s="660"/>
      <c r="C56" s="661"/>
      <c r="D56" s="660"/>
    </row>
    <row r="57" spans="1:12" ht="22.5" customHeight="1" x14ac:dyDescent="0.3">
      <c r="A57" s="861" t="s">
        <v>1046</v>
      </c>
      <c r="B57" s="861"/>
      <c r="C57" s="861"/>
      <c r="D57" s="861"/>
      <c r="K57" t="s">
        <v>1047</v>
      </c>
    </row>
    <row r="58" spans="1:12" x14ac:dyDescent="0.3">
      <c r="A58" s="761" t="s">
        <v>959</v>
      </c>
      <c r="B58" s="761" t="s">
        <v>1048</v>
      </c>
      <c r="C58" s="761" t="s">
        <v>1049</v>
      </c>
      <c r="D58" s="761" t="s">
        <v>1050</v>
      </c>
      <c r="E58" s="68" t="s">
        <v>1051</v>
      </c>
      <c r="F58">
        <v>1E-3</v>
      </c>
      <c r="J58" t="s">
        <v>460</v>
      </c>
      <c r="K58" s="763">
        <v>2024</v>
      </c>
      <c r="L58" s="766">
        <v>85.97</v>
      </c>
    </row>
    <row r="59" spans="1:12" x14ac:dyDescent="0.3">
      <c r="A59" s="53" t="s">
        <v>497</v>
      </c>
      <c r="B59" s="53">
        <v>2025</v>
      </c>
      <c r="C59" s="53">
        <v>236648.5773</v>
      </c>
      <c r="D59" s="53">
        <v>236648.5773</v>
      </c>
      <c r="E59" s="767">
        <f>C59*$F$58</f>
        <v>236.6485773</v>
      </c>
      <c r="F59" s="765">
        <v>236.65</v>
      </c>
      <c r="J59" t="s">
        <v>460</v>
      </c>
      <c r="K59" s="764">
        <v>2025</v>
      </c>
      <c r="L59" s="765">
        <v>9.0399999999999991</v>
      </c>
    </row>
    <row r="60" spans="1:12" x14ac:dyDescent="0.3">
      <c r="A60" s="53" t="s">
        <v>499</v>
      </c>
      <c r="B60" s="53">
        <v>2025</v>
      </c>
      <c r="C60" s="53">
        <v>116618.5724</v>
      </c>
      <c r="D60" s="53">
        <v>118798.731</v>
      </c>
      <c r="E60" s="767">
        <f t="shared" ref="E60:E80" si="0">C60*$F$58</f>
        <v>116.61857240000001</v>
      </c>
      <c r="F60" s="762">
        <v>116.62</v>
      </c>
      <c r="G60" s="147"/>
      <c r="J60" t="s">
        <v>453</v>
      </c>
      <c r="K60" s="763">
        <v>2024</v>
      </c>
      <c r="L60" s="765">
        <v>91.03</v>
      </c>
    </row>
    <row r="61" spans="1:12" x14ac:dyDescent="0.3">
      <c r="A61" s="53" t="s">
        <v>840</v>
      </c>
      <c r="B61" s="53">
        <v>2025</v>
      </c>
      <c r="C61" s="53"/>
      <c r="D61" s="53">
        <v>22187.02562</v>
      </c>
      <c r="E61" s="767">
        <f t="shared" si="0"/>
        <v>0</v>
      </c>
      <c r="J61" t="s">
        <v>453</v>
      </c>
      <c r="K61" s="763">
        <v>2025</v>
      </c>
      <c r="L61" s="765">
        <v>57.18</v>
      </c>
    </row>
    <row r="62" spans="1:12" x14ac:dyDescent="0.3">
      <c r="A62" s="53" t="s">
        <v>463</v>
      </c>
      <c r="B62" s="53">
        <v>2025</v>
      </c>
      <c r="C62" s="53">
        <v>1301.0205129999999</v>
      </c>
      <c r="D62" s="53">
        <v>1388.704563</v>
      </c>
      <c r="E62" s="767">
        <f t="shared" si="0"/>
        <v>1.3010205129999999</v>
      </c>
      <c r="F62">
        <v>1.3</v>
      </c>
      <c r="G62" s="147"/>
      <c r="J62" t="s">
        <v>1052</v>
      </c>
      <c r="K62" s="763">
        <v>2024</v>
      </c>
      <c r="L62" s="765" t="s">
        <v>1053</v>
      </c>
    </row>
    <row r="63" spans="1:12" x14ac:dyDescent="0.3">
      <c r="A63" s="53" t="s">
        <v>453</v>
      </c>
      <c r="B63" s="53">
        <v>2025</v>
      </c>
      <c r="C63" s="53">
        <v>57180.776720000002</v>
      </c>
      <c r="D63" s="53">
        <v>57180.776720000002</v>
      </c>
      <c r="E63" s="767">
        <f t="shared" si="0"/>
        <v>57.180776720000004</v>
      </c>
      <c r="F63" s="147"/>
      <c r="G63" s="147"/>
      <c r="J63" t="s">
        <v>1052</v>
      </c>
      <c r="K63" s="764">
        <v>2025</v>
      </c>
      <c r="L63" s="765" t="s">
        <v>1053</v>
      </c>
    </row>
    <row r="64" spans="1:12" x14ac:dyDescent="0.3">
      <c r="A64" s="53" t="s">
        <v>502</v>
      </c>
      <c r="B64" s="53">
        <v>2025</v>
      </c>
      <c r="C64" s="53">
        <v>165211.01740000001</v>
      </c>
      <c r="D64" s="53">
        <v>173428.96179999999</v>
      </c>
      <c r="E64" s="767">
        <f t="shared" si="0"/>
        <v>165.2110174</v>
      </c>
      <c r="F64">
        <v>165.21</v>
      </c>
      <c r="G64" s="147"/>
      <c r="J64" t="s">
        <v>461</v>
      </c>
      <c r="K64" s="763">
        <v>2024</v>
      </c>
      <c r="L64" s="765">
        <v>114.033844</v>
      </c>
    </row>
    <row r="65" spans="1:14" x14ac:dyDescent="0.3">
      <c r="A65" s="53" t="s">
        <v>456</v>
      </c>
      <c r="B65" s="53">
        <v>2025</v>
      </c>
      <c r="C65" s="53">
        <v>31856.38969</v>
      </c>
      <c r="D65" s="53">
        <v>80753.953769999993</v>
      </c>
      <c r="E65" s="768">
        <f t="shared" si="0"/>
        <v>31.85638969</v>
      </c>
      <c r="F65" s="762">
        <v>31</v>
      </c>
      <c r="G65" s="147"/>
      <c r="J65" t="s">
        <v>461</v>
      </c>
      <c r="K65" s="764">
        <v>2025</v>
      </c>
      <c r="L65" s="765" t="s">
        <v>1054</v>
      </c>
    </row>
    <row r="66" spans="1:14" x14ac:dyDescent="0.3">
      <c r="A66" s="53" t="s">
        <v>515</v>
      </c>
      <c r="B66" s="53">
        <v>2025</v>
      </c>
      <c r="C66" s="53">
        <v>77645.093559999994</v>
      </c>
      <c r="D66" s="53">
        <v>77645.093559999994</v>
      </c>
      <c r="E66" s="767">
        <f t="shared" si="0"/>
        <v>77.645093559999992</v>
      </c>
      <c r="G66" s="147"/>
      <c r="J66" t="s">
        <v>462</v>
      </c>
      <c r="K66" s="763">
        <v>2024</v>
      </c>
      <c r="L66" s="765">
        <v>33.380000000000003</v>
      </c>
    </row>
    <row r="67" spans="1:14" x14ac:dyDescent="0.3">
      <c r="A67" s="53" t="s">
        <v>461</v>
      </c>
      <c r="B67" s="53">
        <v>2025</v>
      </c>
      <c r="C67" s="53">
        <v>70484.988679999995</v>
      </c>
      <c r="D67" s="53">
        <v>70484.988679999995</v>
      </c>
      <c r="E67" s="767">
        <f t="shared" si="0"/>
        <v>70.484988680000001</v>
      </c>
      <c r="G67" s="147"/>
      <c r="J67" t="s">
        <v>462</v>
      </c>
      <c r="K67" s="763">
        <v>2025</v>
      </c>
      <c r="L67" s="765" t="s">
        <v>1055</v>
      </c>
    </row>
    <row r="68" spans="1:14" x14ac:dyDescent="0.3">
      <c r="A68" s="53" t="s">
        <v>462</v>
      </c>
      <c r="B68" s="53">
        <v>2025</v>
      </c>
      <c r="C68" s="53">
        <v>20626.720290000001</v>
      </c>
      <c r="D68" s="53">
        <v>20626.720290000001</v>
      </c>
      <c r="E68" s="767">
        <f t="shared" si="0"/>
        <v>20.626720290000002</v>
      </c>
      <c r="G68" s="147"/>
      <c r="J68" t="s">
        <v>515</v>
      </c>
      <c r="K68" s="763">
        <v>2024</v>
      </c>
      <c r="L68" s="765">
        <v>2.34</v>
      </c>
    </row>
    <row r="69" spans="1:14" x14ac:dyDescent="0.3">
      <c r="A69" s="53" t="s">
        <v>518</v>
      </c>
      <c r="B69" s="53">
        <v>2025</v>
      </c>
      <c r="C69" s="53">
        <v>105094.3704</v>
      </c>
      <c r="D69" s="53">
        <v>105249.3247</v>
      </c>
      <c r="E69" s="767">
        <f t="shared" si="0"/>
        <v>105.0943704</v>
      </c>
      <c r="G69" s="147"/>
      <c r="J69" t="s">
        <v>515</v>
      </c>
      <c r="K69" s="764">
        <v>2025</v>
      </c>
      <c r="L69" s="765">
        <v>77.650000000000006</v>
      </c>
    </row>
    <row r="70" spans="1:14" x14ac:dyDescent="0.3">
      <c r="A70" s="53" t="s">
        <v>500</v>
      </c>
      <c r="B70" s="53">
        <v>2025</v>
      </c>
      <c r="C70" s="53">
        <v>113725.9066</v>
      </c>
      <c r="D70" s="53">
        <v>120109.6605</v>
      </c>
      <c r="E70" s="767">
        <f t="shared" si="0"/>
        <v>113.7259066</v>
      </c>
      <c r="G70" s="147"/>
      <c r="J70" t="s">
        <v>497</v>
      </c>
      <c r="K70" s="763">
        <v>2024</v>
      </c>
      <c r="L70" s="765">
        <v>291.64</v>
      </c>
    </row>
    <row r="71" spans="1:14" x14ac:dyDescent="0.3">
      <c r="A71" s="53" t="s">
        <v>517</v>
      </c>
      <c r="B71" s="53">
        <v>2025</v>
      </c>
      <c r="C71" s="53"/>
      <c r="D71" s="53">
        <v>36488.14731</v>
      </c>
      <c r="E71" s="767">
        <f t="shared" si="0"/>
        <v>0</v>
      </c>
      <c r="G71" s="147"/>
      <c r="J71" t="s">
        <v>497</v>
      </c>
      <c r="K71" s="764">
        <v>2025</v>
      </c>
      <c r="L71" s="765">
        <v>236.65</v>
      </c>
    </row>
    <row r="72" spans="1:14" x14ac:dyDescent="0.3">
      <c r="A72" s="53" t="s">
        <v>516</v>
      </c>
      <c r="B72" s="53">
        <v>2025</v>
      </c>
      <c r="C72" s="53"/>
      <c r="D72" s="53">
        <v>270330.45510000002</v>
      </c>
      <c r="E72" s="767">
        <f t="shared" si="0"/>
        <v>0</v>
      </c>
      <c r="G72" s="147"/>
      <c r="J72" t="s">
        <v>499</v>
      </c>
      <c r="K72" s="763">
        <v>2024</v>
      </c>
      <c r="L72" s="765">
        <v>140.01</v>
      </c>
    </row>
    <row r="73" spans="1:14" x14ac:dyDescent="0.3">
      <c r="A73" s="53" t="s">
        <v>968</v>
      </c>
      <c r="B73" s="53">
        <v>2025</v>
      </c>
      <c r="C73" s="53">
        <v>15649.862800000001</v>
      </c>
      <c r="D73" s="53">
        <v>15649.862800000001</v>
      </c>
      <c r="E73" s="767">
        <f t="shared" si="0"/>
        <v>15.649862800000001</v>
      </c>
      <c r="G73" s="147"/>
      <c r="J73" t="s">
        <v>499</v>
      </c>
      <c r="K73" s="763">
        <v>2025</v>
      </c>
      <c r="L73" s="765">
        <v>116.62</v>
      </c>
    </row>
    <row r="74" spans="1:14" x14ac:dyDescent="0.3">
      <c r="A74" s="53" t="s">
        <v>981</v>
      </c>
      <c r="B74" s="53">
        <v>2025</v>
      </c>
      <c r="C74" s="53">
        <v>461733.99739999999</v>
      </c>
      <c r="D74" s="53">
        <v>608952.696</v>
      </c>
      <c r="E74" s="767">
        <f t="shared" si="0"/>
        <v>461.73399740000002</v>
      </c>
      <c r="G74" s="147"/>
      <c r="J74" t="s">
        <v>500</v>
      </c>
      <c r="K74" s="763">
        <v>2024</v>
      </c>
      <c r="L74" s="765">
        <v>210.79</v>
      </c>
    </row>
    <row r="75" spans="1:14" x14ac:dyDescent="0.3">
      <c r="A75" s="53" t="s">
        <v>839</v>
      </c>
      <c r="B75" s="53">
        <v>2025</v>
      </c>
      <c r="C75" s="53">
        <v>24855.668549999999</v>
      </c>
      <c r="D75" s="53">
        <v>24855.668549999999</v>
      </c>
      <c r="E75" s="767">
        <f t="shared" si="0"/>
        <v>24.855668550000001</v>
      </c>
      <c r="G75" s="147"/>
      <c r="J75" t="s">
        <v>500</v>
      </c>
      <c r="K75" s="764">
        <v>2025</v>
      </c>
      <c r="L75" s="765">
        <v>113.72</v>
      </c>
    </row>
    <row r="76" spans="1:14" x14ac:dyDescent="0.3">
      <c r="A76" s="53" t="s">
        <v>514</v>
      </c>
      <c r="B76" s="53">
        <v>2025</v>
      </c>
      <c r="C76" s="53">
        <v>62116.823859999997</v>
      </c>
      <c r="D76" s="53">
        <v>62116.823859999997</v>
      </c>
      <c r="E76" s="767">
        <f t="shared" si="0"/>
        <v>62.116823859999997</v>
      </c>
      <c r="G76" s="147"/>
      <c r="J76" t="s">
        <v>514</v>
      </c>
      <c r="K76" s="763">
        <v>2024</v>
      </c>
      <c r="L76" s="765">
        <v>0</v>
      </c>
    </row>
    <row r="77" spans="1:14" x14ac:dyDescent="0.3">
      <c r="A77" s="53" t="s">
        <v>837</v>
      </c>
      <c r="B77" s="53">
        <v>2025</v>
      </c>
      <c r="C77" s="53"/>
      <c r="D77" s="53">
        <v>309787.03769999999</v>
      </c>
      <c r="E77" s="147">
        <f t="shared" si="0"/>
        <v>0</v>
      </c>
      <c r="G77" s="147"/>
      <c r="J77" t="s">
        <v>514</v>
      </c>
      <c r="K77" s="764">
        <v>2025</v>
      </c>
      <c r="L77" s="765">
        <v>62.12</v>
      </c>
    </row>
    <row r="78" spans="1:14" x14ac:dyDescent="0.3">
      <c r="A78" s="53" t="s">
        <v>460</v>
      </c>
      <c r="B78" s="53">
        <v>2025</v>
      </c>
      <c r="C78" s="53">
        <v>9040.5370000000003</v>
      </c>
      <c r="D78" s="53">
        <v>9040.5370000000003</v>
      </c>
      <c r="E78" s="767">
        <f t="shared" si="0"/>
        <v>9.0405370000000005</v>
      </c>
      <c r="F78" s="147"/>
      <c r="G78" s="147"/>
      <c r="J78" t="s">
        <v>456</v>
      </c>
      <c r="K78" s="763">
        <v>2024</v>
      </c>
      <c r="L78" s="765">
        <v>42.99</v>
      </c>
    </row>
    <row r="79" spans="1:14" x14ac:dyDescent="0.3">
      <c r="A79" s="53" t="s">
        <v>1056</v>
      </c>
      <c r="B79" s="53">
        <v>2025</v>
      </c>
      <c r="C79" s="53"/>
      <c r="D79" s="53"/>
      <c r="E79" s="767">
        <f t="shared" si="0"/>
        <v>0</v>
      </c>
      <c r="G79" s="147"/>
      <c r="J79" t="s">
        <v>456</v>
      </c>
      <c r="K79" s="763">
        <v>2025</v>
      </c>
      <c r="L79" s="765">
        <v>31</v>
      </c>
    </row>
    <row r="80" spans="1:14" x14ac:dyDescent="0.3">
      <c r="A80" s="53" t="s">
        <v>1052</v>
      </c>
      <c r="B80" s="53">
        <v>2025</v>
      </c>
      <c r="C80" s="53"/>
      <c r="D80" s="53"/>
      <c r="E80" s="767">
        <f t="shared" si="0"/>
        <v>0</v>
      </c>
      <c r="G80" s="147"/>
      <c r="J80" t="s">
        <v>968</v>
      </c>
      <c r="K80" s="763">
        <v>2024</v>
      </c>
      <c r="L80" s="765">
        <v>5.98</v>
      </c>
      <c r="M80">
        <v>6259</v>
      </c>
      <c r="N80" t="s">
        <v>1053</v>
      </c>
    </row>
    <row r="81" spans="1:14" x14ac:dyDescent="0.3">
      <c r="A81" s="53"/>
      <c r="B81" s="59" t="s">
        <v>1057</v>
      </c>
      <c r="C81" s="59">
        <f>SUM(C59:C80)</f>
        <v>1569790.3231629999</v>
      </c>
      <c r="D81" s="59">
        <f t="shared" ref="D81:E81" si="1">SUM(D59:D80)</f>
        <v>2421723.7468230003</v>
      </c>
      <c r="E81" s="59">
        <f t="shared" si="1"/>
        <v>1569.7903231630003</v>
      </c>
      <c r="G81" s="147"/>
      <c r="J81" t="s">
        <v>968</v>
      </c>
      <c r="K81" s="764">
        <v>2025</v>
      </c>
      <c r="L81" s="765">
        <v>15.65</v>
      </c>
      <c r="M81" t="s">
        <v>1053</v>
      </c>
      <c r="N81" t="s">
        <v>1053</v>
      </c>
    </row>
    <row r="82" spans="1:14" x14ac:dyDescent="0.3">
      <c r="A82" s="53"/>
      <c r="B82" s="59" t="s">
        <v>950</v>
      </c>
      <c r="C82" s="59">
        <f>C81*F58</f>
        <v>1569.790323163</v>
      </c>
      <c r="D82" s="59">
        <f>D81*0.001</f>
        <v>2421.7237468230005</v>
      </c>
      <c r="G82" s="147"/>
      <c r="J82" t="s">
        <v>837</v>
      </c>
      <c r="K82" s="763">
        <v>2024</v>
      </c>
      <c r="L82" s="765" t="s">
        <v>1053</v>
      </c>
    </row>
    <row r="83" spans="1:14" x14ac:dyDescent="0.3">
      <c r="C83" t="s">
        <v>29</v>
      </c>
      <c r="D83" t="s">
        <v>1058</v>
      </c>
      <c r="G83" s="147"/>
      <c r="J83" t="s">
        <v>837</v>
      </c>
      <c r="K83" s="764">
        <v>2025</v>
      </c>
      <c r="L83" s="765" t="s">
        <v>1053</v>
      </c>
    </row>
    <row r="84" spans="1:14" x14ac:dyDescent="0.3">
      <c r="G84" s="147"/>
      <c r="J84" t="s">
        <v>518</v>
      </c>
      <c r="K84" s="763">
        <v>2024</v>
      </c>
      <c r="L84" s="765">
        <v>165.08</v>
      </c>
    </row>
    <row r="85" spans="1:14" x14ac:dyDescent="0.3">
      <c r="G85" s="147"/>
      <c r="J85" t="s">
        <v>518</v>
      </c>
      <c r="K85" s="763">
        <v>2025</v>
      </c>
      <c r="L85" s="765">
        <v>105.24</v>
      </c>
    </row>
    <row r="86" spans="1:14" x14ac:dyDescent="0.3">
      <c r="G86" s="147"/>
      <c r="J86" t="s">
        <v>839</v>
      </c>
      <c r="K86" s="763">
        <v>2024</v>
      </c>
      <c r="L86" s="765">
        <v>31.15</v>
      </c>
    </row>
    <row r="87" spans="1:14" x14ac:dyDescent="0.3">
      <c r="G87" s="147"/>
      <c r="J87" t="s">
        <v>839</v>
      </c>
      <c r="K87" s="764">
        <v>2025</v>
      </c>
      <c r="L87" s="765">
        <v>24.85</v>
      </c>
    </row>
    <row r="88" spans="1:14" x14ac:dyDescent="0.3">
      <c r="G88" s="147"/>
      <c r="J88" t="s">
        <v>840</v>
      </c>
      <c r="K88" s="763">
        <v>2024</v>
      </c>
      <c r="L88" s="765" t="s">
        <v>1053</v>
      </c>
    </row>
    <row r="89" spans="1:14" x14ac:dyDescent="0.3">
      <c r="G89" s="147"/>
      <c r="J89" t="s">
        <v>840</v>
      </c>
      <c r="K89" s="764">
        <v>2025</v>
      </c>
      <c r="L89" s="765" t="s">
        <v>1053</v>
      </c>
    </row>
    <row r="90" spans="1:14" x14ac:dyDescent="0.3">
      <c r="G90" s="147"/>
      <c r="J90" t="s">
        <v>981</v>
      </c>
      <c r="K90" s="763">
        <v>2024</v>
      </c>
      <c r="L90" s="765">
        <v>548.28</v>
      </c>
    </row>
    <row r="91" spans="1:14" x14ac:dyDescent="0.3">
      <c r="G91" s="147"/>
      <c r="J91" t="s">
        <v>981</v>
      </c>
      <c r="K91" s="763">
        <v>2025</v>
      </c>
      <c r="L91" s="765">
        <v>461.73</v>
      </c>
    </row>
    <row r="92" spans="1:14" x14ac:dyDescent="0.3">
      <c r="G92" s="147"/>
      <c r="J92" t="s">
        <v>517</v>
      </c>
      <c r="K92" s="763">
        <v>2024</v>
      </c>
      <c r="L92" s="765" t="s">
        <v>1053</v>
      </c>
    </row>
    <row r="93" spans="1:14" x14ac:dyDescent="0.3">
      <c r="G93" s="147" t="s">
        <v>1053</v>
      </c>
      <c r="J93" t="s">
        <v>517</v>
      </c>
      <c r="K93" s="764">
        <v>2025</v>
      </c>
      <c r="L93" s="765" t="s">
        <v>1053</v>
      </c>
    </row>
    <row r="94" spans="1:14" x14ac:dyDescent="0.3">
      <c r="G94" s="147">
        <v>1.56</v>
      </c>
      <c r="J94" t="s">
        <v>463</v>
      </c>
      <c r="K94" s="763">
        <v>2024</v>
      </c>
      <c r="L94" s="765">
        <v>1.56</v>
      </c>
    </row>
    <row r="95" spans="1:14" x14ac:dyDescent="0.3">
      <c r="G95" s="147">
        <v>1.3</v>
      </c>
      <c r="J95" t="s">
        <v>463</v>
      </c>
      <c r="K95" s="764">
        <v>2025</v>
      </c>
      <c r="L95" s="765">
        <v>1.3</v>
      </c>
    </row>
    <row r="96" spans="1:14" x14ac:dyDescent="0.3">
      <c r="G96" s="147">
        <v>177.74</v>
      </c>
      <c r="J96" t="s">
        <v>502</v>
      </c>
      <c r="K96" s="763">
        <v>2024</v>
      </c>
      <c r="L96" s="765">
        <v>177.74</v>
      </c>
    </row>
    <row r="97" spans="7:12" x14ac:dyDescent="0.3">
      <c r="G97" s="147">
        <v>165.21</v>
      </c>
      <c r="J97" t="s">
        <v>502</v>
      </c>
      <c r="K97" s="763">
        <v>2025</v>
      </c>
      <c r="L97" s="765">
        <v>165.21</v>
      </c>
    </row>
    <row r="98" spans="7:12" x14ac:dyDescent="0.3">
      <c r="G98" s="147" t="s">
        <v>1053</v>
      </c>
      <c r="J98" t="s">
        <v>516</v>
      </c>
      <c r="K98" s="763">
        <v>2024</v>
      </c>
      <c r="L98" s="765" t="s">
        <v>1053</v>
      </c>
    </row>
    <row r="99" spans="7:12" x14ac:dyDescent="0.3">
      <c r="G99" s="147" t="s">
        <v>1053</v>
      </c>
      <c r="J99" t="s">
        <v>516</v>
      </c>
      <c r="K99" s="764">
        <v>2025</v>
      </c>
      <c r="L99" s="765" t="s">
        <v>1053</v>
      </c>
    </row>
    <row r="100" spans="7:12" x14ac:dyDescent="0.3">
      <c r="G100" s="147" t="s">
        <v>1053</v>
      </c>
      <c r="J100" t="s">
        <v>1056</v>
      </c>
      <c r="K100" s="763">
        <v>2024</v>
      </c>
      <c r="L100" s="765" t="s">
        <v>1053</v>
      </c>
    </row>
    <row r="101" spans="7:12" x14ac:dyDescent="0.3">
      <c r="G101" s="147"/>
      <c r="J101" t="s">
        <v>1056</v>
      </c>
      <c r="K101" s="764">
        <v>2025</v>
      </c>
      <c r="L101" s="147"/>
    </row>
  </sheetData>
  <autoFilter ref="J57:N101" xr:uid="{B88DEF25-1A57-4987-9738-855C4F3E0AC1}"/>
  <mergeCells count="6">
    <mergeCell ref="A57:D57"/>
    <mergeCell ref="A1:G1"/>
    <mergeCell ref="A15:H15"/>
    <mergeCell ref="A37:A38"/>
    <mergeCell ref="B37:B38"/>
    <mergeCell ref="C37:C3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0AACD-765E-4042-BBD0-56D6ABF6B14D}">
  <dimension ref="A1:Q177"/>
  <sheetViews>
    <sheetView showGridLines="0" zoomScale="70" zoomScaleNormal="70" workbookViewId="0">
      <pane ySplit="9" topLeftCell="A77" activePane="bottomLeft" state="frozen"/>
      <selection pane="bottomLeft" activeCell="K172" sqref="K172"/>
    </sheetView>
  </sheetViews>
  <sheetFormatPr defaultColWidth="9" defaultRowHeight="14.4" x14ac:dyDescent="0.3"/>
  <cols>
    <col min="1" max="1" width="16.5546875" style="198" customWidth="1"/>
    <col min="2" max="2" width="28.77734375" style="198" customWidth="1"/>
    <col min="3" max="3" width="23" style="198" customWidth="1"/>
    <col min="4" max="4" width="26.5546875" style="198" customWidth="1"/>
    <col min="5" max="5" width="19.5546875" style="198" customWidth="1"/>
    <col min="6" max="6" width="26.109375" style="198" customWidth="1"/>
    <col min="7" max="7" width="14.5546875" style="198" customWidth="1"/>
    <col min="8" max="8" width="13.77734375" style="198" customWidth="1"/>
    <col min="9" max="9" width="18.21875" style="198" customWidth="1"/>
    <col min="10" max="10" width="28.21875" style="198" customWidth="1"/>
    <col min="11" max="11" width="26.21875" style="198" customWidth="1"/>
    <col min="12" max="12" width="18.44140625" style="198" customWidth="1"/>
    <col min="13" max="13" width="2.77734375" style="198" customWidth="1"/>
    <col min="14" max="16384" width="9" style="198"/>
  </cols>
  <sheetData>
    <row r="1" spans="1:12" ht="44.85" customHeight="1" x14ac:dyDescent="0.3">
      <c r="A1" s="868"/>
      <c r="B1" s="868"/>
    </row>
    <row r="2" spans="1:12" ht="5.85" customHeight="1" x14ac:dyDescent="0.3"/>
    <row r="3" spans="1:12" ht="14.4" customHeight="1" x14ac:dyDescent="0.3">
      <c r="A3" s="867" t="s">
        <v>1059</v>
      </c>
      <c r="B3" s="868"/>
      <c r="C3" s="869" t="s">
        <v>1060</v>
      </c>
      <c r="D3" s="868"/>
    </row>
    <row r="4" spans="1:12" ht="14.4" customHeight="1" x14ac:dyDescent="0.3">
      <c r="A4" s="867" t="s">
        <v>1061</v>
      </c>
      <c r="B4" s="868"/>
      <c r="C4" s="869" t="s">
        <v>468</v>
      </c>
      <c r="D4" s="868"/>
    </row>
    <row r="5" spans="1:12" ht="14.4" customHeight="1" x14ac:dyDescent="0.3">
      <c r="A5" s="867" t="s">
        <v>1062</v>
      </c>
      <c r="B5" s="868"/>
      <c r="C5" s="869" t="s">
        <v>1063</v>
      </c>
      <c r="D5" s="868"/>
    </row>
    <row r="6" spans="1:12" ht="14.4" customHeight="1" x14ac:dyDescent="0.3">
      <c r="A6" s="867" t="s">
        <v>1064</v>
      </c>
      <c r="B6" s="868"/>
      <c r="C6" s="869" t="s">
        <v>1065</v>
      </c>
      <c r="D6" s="868"/>
    </row>
    <row r="7" spans="1:12" ht="14.4" customHeight="1" x14ac:dyDescent="0.3">
      <c r="A7" s="867" t="s">
        <v>1066</v>
      </c>
      <c r="B7" s="868"/>
      <c r="C7" s="869" t="s">
        <v>1067</v>
      </c>
      <c r="D7" s="868"/>
    </row>
    <row r="8" spans="1:12" ht="33.75" customHeight="1" x14ac:dyDescent="0.3">
      <c r="A8" s="867" t="s">
        <v>1068</v>
      </c>
      <c r="B8" s="868"/>
      <c r="C8" s="869" t="s">
        <v>1069</v>
      </c>
      <c r="D8" s="868"/>
    </row>
    <row r="9" spans="1:12" ht="7.35" customHeight="1" x14ac:dyDescent="0.3"/>
    <row r="10" spans="1:12" x14ac:dyDescent="0.3">
      <c r="A10" s="199" t="s">
        <v>1053</v>
      </c>
      <c r="B10" s="870" t="s">
        <v>1053</v>
      </c>
      <c r="C10" s="868"/>
      <c r="D10" s="870" t="s">
        <v>1053</v>
      </c>
      <c r="E10" s="868"/>
      <c r="F10" s="199" t="s">
        <v>1053</v>
      </c>
      <c r="G10" s="199" t="s">
        <v>1053</v>
      </c>
      <c r="H10" s="199" t="s">
        <v>1053</v>
      </c>
      <c r="I10" s="199" t="s">
        <v>1053</v>
      </c>
      <c r="J10" s="199" t="s">
        <v>1053</v>
      </c>
      <c r="K10" s="199" t="s">
        <v>1053</v>
      </c>
      <c r="L10" s="199" t="s">
        <v>1053</v>
      </c>
    </row>
    <row r="11" spans="1:12" ht="35.4" x14ac:dyDescent="0.3">
      <c r="A11" s="240" t="s">
        <v>974</v>
      </c>
      <c r="B11" s="240" t="s">
        <v>1070</v>
      </c>
      <c r="C11" s="240" t="s">
        <v>324</v>
      </c>
      <c r="D11" s="240" t="s">
        <v>1071</v>
      </c>
      <c r="E11" s="240" t="s">
        <v>845</v>
      </c>
      <c r="F11" s="240" t="s">
        <v>767</v>
      </c>
      <c r="G11" s="240" t="s">
        <v>1072</v>
      </c>
      <c r="H11" s="240" t="s">
        <v>1073</v>
      </c>
      <c r="I11" s="240" t="s">
        <v>1074</v>
      </c>
      <c r="J11" s="240" t="s">
        <v>1075</v>
      </c>
      <c r="K11" s="240" t="s">
        <v>1076</v>
      </c>
      <c r="L11" s="240" t="s">
        <v>1077</v>
      </c>
    </row>
    <row r="12" spans="1:12" x14ac:dyDescent="0.3">
      <c r="A12" s="250">
        <v>2024</v>
      </c>
      <c r="B12" s="250" t="s">
        <v>1078</v>
      </c>
      <c r="C12" s="250"/>
      <c r="D12" s="250" t="s">
        <v>497</v>
      </c>
      <c r="E12" s="250"/>
      <c r="F12" s="250" t="s">
        <v>1079</v>
      </c>
      <c r="G12" s="250" t="s">
        <v>35</v>
      </c>
      <c r="H12" s="250">
        <v>472148.27</v>
      </c>
      <c r="I12" s="250"/>
      <c r="J12" s="250"/>
      <c r="K12" s="241">
        <v>80.189206999999996</v>
      </c>
      <c r="L12" s="241">
        <v>80.189206999999996</v>
      </c>
    </row>
    <row r="13" spans="1:12" x14ac:dyDescent="0.3">
      <c r="A13" s="251">
        <v>2024</v>
      </c>
      <c r="B13" s="241" t="s">
        <v>1080</v>
      </c>
      <c r="C13" s="241"/>
      <c r="D13" s="241" t="s">
        <v>497</v>
      </c>
      <c r="E13" s="241"/>
      <c r="F13" s="241" t="s">
        <v>1081</v>
      </c>
      <c r="G13" s="241" t="s">
        <v>35</v>
      </c>
      <c r="H13" s="241">
        <v>444412.38400000002</v>
      </c>
      <c r="I13" s="241"/>
      <c r="J13" s="241"/>
      <c r="K13" s="242">
        <v>197.98352600000001</v>
      </c>
      <c r="L13" s="242">
        <v>128.93030099999999</v>
      </c>
    </row>
    <row r="14" spans="1:12" x14ac:dyDescent="0.3">
      <c r="A14" s="252">
        <v>2024</v>
      </c>
      <c r="B14" s="242" t="s">
        <v>1082</v>
      </c>
      <c r="C14" s="242"/>
      <c r="D14" s="242" t="s">
        <v>497</v>
      </c>
      <c r="E14" s="242"/>
      <c r="F14" s="242" t="s">
        <v>1081</v>
      </c>
      <c r="G14" s="242" t="s">
        <v>35</v>
      </c>
      <c r="H14" s="253">
        <v>444412.38400000002</v>
      </c>
      <c r="I14" s="242"/>
      <c r="J14" s="242"/>
      <c r="K14" s="242">
        <v>-197.98352600000001</v>
      </c>
      <c r="L14" s="242"/>
    </row>
    <row r="15" spans="1:12" ht="27" hidden="1" x14ac:dyDescent="0.3">
      <c r="A15" s="252">
        <v>2024</v>
      </c>
      <c r="B15" s="242" t="s">
        <v>1083</v>
      </c>
      <c r="C15" s="242"/>
      <c r="D15" s="242" t="s">
        <v>497</v>
      </c>
      <c r="E15" s="242"/>
      <c r="F15" s="242" t="s">
        <v>686</v>
      </c>
      <c r="G15" s="242" t="s">
        <v>1084</v>
      </c>
      <c r="H15" s="242">
        <v>13.048999999999999</v>
      </c>
      <c r="I15" s="242"/>
      <c r="J15" s="242"/>
      <c r="K15" s="242">
        <v>8.3652000000000004E-2</v>
      </c>
      <c r="L15" s="242">
        <v>8.3652000000000004E-2</v>
      </c>
    </row>
    <row r="16" spans="1:12" hidden="1" x14ac:dyDescent="0.3">
      <c r="A16" s="252">
        <v>2024</v>
      </c>
      <c r="B16" s="242" t="s">
        <v>1085</v>
      </c>
      <c r="C16" s="242"/>
      <c r="D16" s="242" t="s">
        <v>497</v>
      </c>
      <c r="E16" s="242"/>
      <c r="F16" s="242" t="s">
        <v>686</v>
      </c>
      <c r="G16" s="242" t="s">
        <v>1084</v>
      </c>
      <c r="H16" s="242">
        <v>14.394</v>
      </c>
      <c r="I16" s="242"/>
      <c r="J16" s="242"/>
      <c r="K16" s="242">
        <v>9.2273999999999995E-2</v>
      </c>
      <c r="L16" s="242">
        <v>9.2273999999999995E-2</v>
      </c>
    </row>
    <row r="17" spans="1:12" ht="27" hidden="1" x14ac:dyDescent="0.3">
      <c r="A17" s="252">
        <v>2024</v>
      </c>
      <c r="B17" s="242" t="s">
        <v>1086</v>
      </c>
      <c r="C17" s="242"/>
      <c r="D17" s="242" t="s">
        <v>497</v>
      </c>
      <c r="E17" s="242"/>
      <c r="F17" s="242" t="s">
        <v>686</v>
      </c>
      <c r="G17" s="242" t="s">
        <v>35</v>
      </c>
      <c r="H17" s="242">
        <v>1020070.67</v>
      </c>
      <c r="I17" s="242"/>
      <c r="J17" s="242"/>
      <c r="K17" s="242">
        <v>-454.43645400000003</v>
      </c>
      <c r="L17" s="242"/>
    </row>
    <row r="18" spans="1:12" ht="27" hidden="1" x14ac:dyDescent="0.3">
      <c r="A18" s="252">
        <v>2024</v>
      </c>
      <c r="B18" s="242" t="s">
        <v>1087</v>
      </c>
      <c r="C18" s="242"/>
      <c r="D18" s="242" t="s">
        <v>497</v>
      </c>
      <c r="E18" s="242"/>
      <c r="F18" s="242" t="s">
        <v>686</v>
      </c>
      <c r="G18" s="242" t="s">
        <v>35</v>
      </c>
      <c r="H18" s="242">
        <v>1020070.67</v>
      </c>
      <c r="I18" s="242"/>
      <c r="J18" s="242"/>
      <c r="K18" s="242">
        <v>454.43645400000003</v>
      </c>
      <c r="L18" s="242">
        <v>295.93688300000002</v>
      </c>
    </row>
    <row r="19" spans="1:12" ht="27" hidden="1" x14ac:dyDescent="0.3">
      <c r="A19" s="252">
        <v>2024</v>
      </c>
      <c r="B19" s="242" t="s">
        <v>1088</v>
      </c>
      <c r="C19" s="242"/>
      <c r="D19" s="242" t="s">
        <v>497</v>
      </c>
      <c r="E19" s="242"/>
      <c r="F19" s="242" t="s">
        <v>686</v>
      </c>
      <c r="G19" s="242" t="s">
        <v>35</v>
      </c>
      <c r="H19" s="242">
        <v>444412.38400000002</v>
      </c>
      <c r="I19" s="242"/>
      <c r="J19" s="242"/>
      <c r="K19" s="242">
        <v>9.1993379999999991</v>
      </c>
      <c r="L19" s="242">
        <v>9.1993379999999991</v>
      </c>
    </row>
    <row r="20" spans="1:12" ht="27" hidden="1" x14ac:dyDescent="0.3">
      <c r="A20" s="252">
        <v>2024</v>
      </c>
      <c r="B20" s="242" t="s">
        <v>1089</v>
      </c>
      <c r="C20" s="242"/>
      <c r="D20" s="242" t="s">
        <v>497</v>
      </c>
      <c r="E20" s="242"/>
      <c r="F20" s="242" t="s">
        <v>686</v>
      </c>
      <c r="G20" s="242" t="s">
        <v>1084</v>
      </c>
      <c r="H20" s="242">
        <v>3.6190000000000002</v>
      </c>
      <c r="I20" s="242"/>
      <c r="J20" s="242"/>
      <c r="K20" s="242">
        <v>3.2252999999999997E-2</v>
      </c>
      <c r="L20" s="242">
        <v>3.2252999999999997E-2</v>
      </c>
    </row>
    <row r="21" spans="1:12" hidden="1" x14ac:dyDescent="0.3">
      <c r="A21" s="252">
        <v>2024</v>
      </c>
      <c r="B21" s="242" t="s">
        <v>1090</v>
      </c>
      <c r="C21" s="242"/>
      <c r="D21" s="242" t="s">
        <v>497</v>
      </c>
      <c r="E21" s="242"/>
      <c r="F21" s="242" t="s">
        <v>686</v>
      </c>
      <c r="G21" s="242" t="s">
        <v>35</v>
      </c>
      <c r="H21" s="242">
        <v>444412.38400000002</v>
      </c>
      <c r="I21" s="242"/>
      <c r="J21" s="242"/>
      <c r="K21" s="242">
        <v>20.931823999999999</v>
      </c>
      <c r="L21" s="242">
        <v>20.931823999999999</v>
      </c>
    </row>
    <row r="22" spans="1:12" hidden="1" x14ac:dyDescent="0.3">
      <c r="A22" s="252">
        <v>2024</v>
      </c>
      <c r="B22" s="242" t="s">
        <v>1091</v>
      </c>
      <c r="C22" s="242"/>
      <c r="D22" s="242" t="s">
        <v>497</v>
      </c>
      <c r="E22" s="242"/>
      <c r="F22" s="242" t="s">
        <v>686</v>
      </c>
      <c r="G22" s="242" t="s">
        <v>35</v>
      </c>
      <c r="H22" s="242">
        <v>492942.72499999998</v>
      </c>
      <c r="I22" s="242"/>
      <c r="J22" s="242"/>
      <c r="K22" s="242">
        <v>15.625546</v>
      </c>
      <c r="L22" s="242">
        <v>15.625546</v>
      </c>
    </row>
    <row r="23" spans="1:12" x14ac:dyDescent="0.3">
      <c r="A23" s="252">
        <v>2024</v>
      </c>
      <c r="B23" s="242" t="s">
        <v>1078</v>
      </c>
      <c r="C23" s="242"/>
      <c r="D23" s="242" t="s">
        <v>499</v>
      </c>
      <c r="E23" s="242"/>
      <c r="F23" s="242" t="s">
        <v>1079</v>
      </c>
      <c r="G23" s="242" t="s">
        <v>35</v>
      </c>
      <c r="H23" s="242">
        <v>55405.228000000003</v>
      </c>
      <c r="I23" s="242"/>
      <c r="J23" s="242"/>
      <c r="K23" s="242">
        <v>9.4099699999999995</v>
      </c>
      <c r="L23" s="242">
        <v>9.4099699999999995</v>
      </c>
    </row>
    <row r="24" spans="1:12" x14ac:dyDescent="0.3">
      <c r="A24" s="252">
        <v>2024</v>
      </c>
      <c r="B24" s="242" t="s">
        <v>1080</v>
      </c>
      <c r="C24" s="242"/>
      <c r="D24" s="242" t="s">
        <v>499</v>
      </c>
      <c r="E24" s="242"/>
      <c r="F24" s="242" t="s">
        <v>1081</v>
      </c>
      <c r="G24" s="242" t="s">
        <v>35</v>
      </c>
      <c r="H24" s="242">
        <v>180504.39</v>
      </c>
      <c r="I24" s="242"/>
      <c r="J24" s="242"/>
      <c r="K24" s="242">
        <v>80.413815999999997</v>
      </c>
      <c r="L24" s="242">
        <v>52.366867999999997</v>
      </c>
    </row>
    <row r="25" spans="1:12" x14ac:dyDescent="0.3">
      <c r="A25" s="252">
        <v>2024</v>
      </c>
      <c r="B25" s="242" t="s">
        <v>1082</v>
      </c>
      <c r="C25" s="242"/>
      <c r="D25" s="242" t="s">
        <v>499</v>
      </c>
      <c r="E25" s="242"/>
      <c r="F25" s="242" t="s">
        <v>1081</v>
      </c>
      <c r="G25" s="242" t="s">
        <v>35</v>
      </c>
      <c r="H25" s="242">
        <v>180504.39</v>
      </c>
      <c r="I25" s="242"/>
      <c r="J25" s="242"/>
      <c r="K25" s="242">
        <v>-80.413815999999997</v>
      </c>
      <c r="L25" s="242"/>
    </row>
    <row r="26" spans="1:12" hidden="1" x14ac:dyDescent="0.3">
      <c r="A26" s="252">
        <v>2024</v>
      </c>
      <c r="B26" s="242" t="s">
        <v>1085</v>
      </c>
      <c r="C26" s="242"/>
      <c r="D26" s="242" t="s">
        <v>499</v>
      </c>
      <c r="E26" s="242"/>
      <c r="F26" s="242" t="s">
        <v>686</v>
      </c>
      <c r="G26" s="242" t="s">
        <v>1084</v>
      </c>
      <c r="H26" s="242">
        <v>3.2490000000000001</v>
      </c>
      <c r="I26" s="242"/>
      <c r="J26" s="242"/>
      <c r="K26" s="242">
        <v>2.0827999999999999E-2</v>
      </c>
      <c r="L26" s="242">
        <v>2.0827999999999999E-2</v>
      </c>
    </row>
    <row r="27" spans="1:12" ht="27" hidden="1" x14ac:dyDescent="0.3">
      <c r="A27" s="252">
        <v>2024</v>
      </c>
      <c r="B27" s="242" t="s">
        <v>1086</v>
      </c>
      <c r="C27" s="242"/>
      <c r="D27" s="242" t="s">
        <v>499</v>
      </c>
      <c r="E27" s="242"/>
      <c r="F27" s="242" t="s">
        <v>686</v>
      </c>
      <c r="G27" s="242" t="s">
        <v>35</v>
      </c>
      <c r="H27" s="253">
        <v>326516</v>
      </c>
      <c r="I27" s="242"/>
      <c r="J27" s="242"/>
      <c r="K27" s="242">
        <v>-145.46126899999999</v>
      </c>
      <c r="L27" s="242"/>
    </row>
    <row r="28" spans="1:12" hidden="1" x14ac:dyDescent="0.3">
      <c r="A28" s="252">
        <v>2024</v>
      </c>
      <c r="B28" s="242" t="s">
        <v>1090</v>
      </c>
      <c r="C28" s="242"/>
      <c r="D28" s="242" t="s">
        <v>499</v>
      </c>
      <c r="E28" s="242"/>
      <c r="F28" s="242" t="s">
        <v>686</v>
      </c>
      <c r="G28" s="242" t="s">
        <v>35</v>
      </c>
      <c r="H28" s="253">
        <v>180504.39</v>
      </c>
      <c r="I28" s="242"/>
      <c r="J28" s="242"/>
      <c r="K28" s="242">
        <v>8.5017560000000003</v>
      </c>
      <c r="L28" s="242">
        <v>8.5017560000000003</v>
      </c>
    </row>
    <row r="29" spans="1:12" hidden="1" x14ac:dyDescent="0.3">
      <c r="A29" s="252">
        <v>2024</v>
      </c>
      <c r="B29" s="242" t="s">
        <v>1091</v>
      </c>
      <c r="C29" s="242"/>
      <c r="D29" s="242" t="s">
        <v>499</v>
      </c>
      <c r="E29" s="242"/>
      <c r="F29" s="242" t="s">
        <v>686</v>
      </c>
      <c r="G29" s="242" t="s">
        <v>35</v>
      </c>
      <c r="H29" s="242">
        <v>52345.425000000003</v>
      </c>
      <c r="I29" s="242"/>
      <c r="J29" s="242"/>
      <c r="K29" s="242">
        <v>1.6592720000000001</v>
      </c>
      <c r="L29" s="242">
        <v>1.6592720000000001</v>
      </c>
    </row>
    <row r="30" spans="1:12" ht="27" hidden="1" x14ac:dyDescent="0.3">
      <c r="A30" s="252">
        <v>2024</v>
      </c>
      <c r="B30" s="242" t="s">
        <v>1087</v>
      </c>
      <c r="C30" s="242"/>
      <c r="D30" s="242" t="s">
        <v>499</v>
      </c>
      <c r="E30" s="242"/>
      <c r="F30" s="242" t="s">
        <v>686</v>
      </c>
      <c r="G30" s="242" t="s">
        <v>35</v>
      </c>
      <c r="H30" s="242">
        <v>489716</v>
      </c>
      <c r="I30" s="242"/>
      <c r="J30" s="242"/>
      <c r="K30" s="242">
        <v>218.16606300000001</v>
      </c>
      <c r="L30" s="242">
        <v>142.073519</v>
      </c>
    </row>
    <row r="31" spans="1:12" ht="27" hidden="1" x14ac:dyDescent="0.3">
      <c r="A31" s="252">
        <v>2024</v>
      </c>
      <c r="B31" s="242" t="s">
        <v>1088</v>
      </c>
      <c r="C31" s="242"/>
      <c r="D31" s="242" t="s">
        <v>499</v>
      </c>
      <c r="E31" s="242"/>
      <c r="F31" s="242" t="s">
        <v>686</v>
      </c>
      <c r="G31" s="242" t="s">
        <v>35</v>
      </c>
      <c r="H31" s="242">
        <v>180504.39</v>
      </c>
      <c r="I31" s="242"/>
      <c r="J31" s="242"/>
      <c r="K31" s="242">
        <v>3.7364419999999998</v>
      </c>
      <c r="L31" s="242">
        <v>3.7364419999999998</v>
      </c>
    </row>
    <row r="32" spans="1:12" ht="27" hidden="1" x14ac:dyDescent="0.3">
      <c r="A32" s="252">
        <v>2024</v>
      </c>
      <c r="B32" s="242" t="s">
        <v>1089</v>
      </c>
      <c r="C32" s="242"/>
      <c r="D32" s="242" t="s">
        <v>499</v>
      </c>
      <c r="E32" s="242"/>
      <c r="F32" s="242" t="s">
        <v>686</v>
      </c>
      <c r="G32" s="242" t="s">
        <v>1084</v>
      </c>
      <c r="H32" s="242">
        <v>3.0950000000000002</v>
      </c>
      <c r="I32" s="242"/>
      <c r="J32" s="242"/>
      <c r="K32" s="242">
        <v>2.7584999999999998E-2</v>
      </c>
      <c r="L32" s="242">
        <v>2.7584999999999998E-2</v>
      </c>
    </row>
    <row r="33" spans="1:12" ht="27" hidden="1" x14ac:dyDescent="0.3">
      <c r="A33" s="252">
        <v>2024</v>
      </c>
      <c r="B33" s="242" t="s">
        <v>1083</v>
      </c>
      <c r="C33" s="242"/>
      <c r="D33" s="242" t="s">
        <v>499</v>
      </c>
      <c r="E33" s="242"/>
      <c r="F33" s="242" t="s">
        <v>686</v>
      </c>
      <c r="G33" s="242" t="s">
        <v>1084</v>
      </c>
      <c r="H33" s="242">
        <v>2.5619999999999998</v>
      </c>
      <c r="I33" s="242"/>
      <c r="J33" s="242"/>
      <c r="K33" s="242">
        <v>1.6424000000000001E-2</v>
      </c>
      <c r="L33" s="242">
        <v>1.6424000000000001E-2</v>
      </c>
    </row>
    <row r="34" spans="1:12" ht="27" hidden="1" x14ac:dyDescent="0.3">
      <c r="A34" s="252">
        <v>2024</v>
      </c>
      <c r="B34" s="242" t="s">
        <v>1092</v>
      </c>
      <c r="C34" s="242"/>
      <c r="D34" s="242" t="s">
        <v>840</v>
      </c>
      <c r="E34" s="242"/>
      <c r="F34" s="242" t="s">
        <v>686</v>
      </c>
      <c r="G34" s="242" t="s">
        <v>35</v>
      </c>
      <c r="H34" s="242">
        <v>54144.072</v>
      </c>
      <c r="I34" s="242"/>
      <c r="J34" s="242"/>
      <c r="K34" s="242">
        <v>24.120912000000001</v>
      </c>
      <c r="L34" s="242">
        <v>15.707952000000001</v>
      </c>
    </row>
    <row r="35" spans="1:12" ht="27" hidden="1" x14ac:dyDescent="0.3">
      <c r="A35" s="252">
        <v>2024</v>
      </c>
      <c r="B35" s="242" t="s">
        <v>1093</v>
      </c>
      <c r="C35" s="242"/>
      <c r="D35" s="242" t="s">
        <v>840</v>
      </c>
      <c r="E35" s="242"/>
      <c r="F35" s="242" t="s">
        <v>686</v>
      </c>
      <c r="G35" s="242" t="s">
        <v>35</v>
      </c>
      <c r="H35" s="242">
        <v>36066.923999999999</v>
      </c>
      <c r="I35" s="242"/>
      <c r="J35" s="242"/>
      <c r="K35" s="242">
        <v>6.1255559999999996</v>
      </c>
      <c r="L35" s="242">
        <v>6.1255559999999996</v>
      </c>
    </row>
    <row r="36" spans="1:12" hidden="1" x14ac:dyDescent="0.3">
      <c r="A36" s="252">
        <v>2024</v>
      </c>
      <c r="B36" s="242" t="s">
        <v>1085</v>
      </c>
      <c r="C36" s="242"/>
      <c r="D36" s="242" t="s">
        <v>840</v>
      </c>
      <c r="E36" s="242"/>
      <c r="F36" s="242" t="s">
        <v>686</v>
      </c>
      <c r="G36" s="242" t="s">
        <v>1084</v>
      </c>
      <c r="H36" s="242">
        <v>0.36</v>
      </c>
      <c r="I36" s="242"/>
      <c r="J36" s="242"/>
      <c r="K36" s="242">
        <v>2.3040000000000001E-3</v>
      </c>
      <c r="L36" s="242">
        <v>2.3040000000000001E-3</v>
      </c>
    </row>
    <row r="37" spans="1:12" x14ac:dyDescent="0.3">
      <c r="A37" s="252">
        <v>2024</v>
      </c>
      <c r="B37" s="242" t="s">
        <v>1078</v>
      </c>
      <c r="C37" s="242"/>
      <c r="D37" s="242" t="s">
        <v>463</v>
      </c>
      <c r="E37" s="242"/>
      <c r="F37" s="242" t="s">
        <v>1079</v>
      </c>
      <c r="G37" s="242" t="s">
        <v>35</v>
      </c>
      <c r="H37" s="242">
        <v>51007.77</v>
      </c>
      <c r="I37" s="242"/>
      <c r="J37" s="242"/>
      <c r="K37" s="242">
        <v>8.6631110000000007</v>
      </c>
      <c r="L37" s="242">
        <v>8.6631110000000007</v>
      </c>
    </row>
    <row r="38" spans="1:12" x14ac:dyDescent="0.3">
      <c r="A38" s="252">
        <v>2024</v>
      </c>
      <c r="B38" s="242" t="s">
        <v>1080</v>
      </c>
      <c r="C38" s="242"/>
      <c r="D38" s="242" t="s">
        <v>463</v>
      </c>
      <c r="E38" s="242"/>
      <c r="F38" s="242" t="s">
        <v>1081</v>
      </c>
      <c r="G38" s="242" t="s">
        <v>35</v>
      </c>
      <c r="H38" s="242">
        <v>12428.602000000001</v>
      </c>
      <c r="I38" s="242"/>
      <c r="J38" s="242"/>
      <c r="K38" s="242">
        <v>5.53688</v>
      </c>
      <c r="L38" s="242">
        <v>3.6057139999999999</v>
      </c>
    </row>
    <row r="39" spans="1:12" x14ac:dyDescent="0.3">
      <c r="A39" s="252">
        <v>2024</v>
      </c>
      <c r="B39" s="242" t="s">
        <v>1082</v>
      </c>
      <c r="C39" s="242"/>
      <c r="D39" s="242" t="s">
        <v>463</v>
      </c>
      <c r="E39" s="242"/>
      <c r="F39" s="242" t="s">
        <v>1081</v>
      </c>
      <c r="G39" s="242" t="s">
        <v>35</v>
      </c>
      <c r="H39" s="253">
        <v>12428.602000000001</v>
      </c>
      <c r="I39" s="242"/>
      <c r="J39" s="242"/>
      <c r="K39" s="242">
        <v>-5.53688</v>
      </c>
      <c r="L39" s="242"/>
    </row>
    <row r="40" spans="1:12" ht="27" hidden="1" x14ac:dyDescent="0.3">
      <c r="A40" s="252">
        <v>2024</v>
      </c>
      <c r="B40" s="242" t="s">
        <v>1086</v>
      </c>
      <c r="C40" s="242"/>
      <c r="D40" s="242" t="s">
        <v>463</v>
      </c>
      <c r="E40" s="242"/>
      <c r="F40" s="242" t="s">
        <v>686</v>
      </c>
      <c r="G40" s="242" t="s">
        <v>35</v>
      </c>
      <c r="H40" s="253">
        <v>5445.5039999999999</v>
      </c>
      <c r="I40" s="242"/>
      <c r="J40" s="242"/>
      <c r="K40" s="242">
        <v>-2.4259430000000002</v>
      </c>
      <c r="L40" s="242"/>
    </row>
    <row r="41" spans="1:12" hidden="1" x14ac:dyDescent="0.3">
      <c r="A41" s="252">
        <v>2024</v>
      </c>
      <c r="B41" s="242" t="s">
        <v>1090</v>
      </c>
      <c r="C41" s="242"/>
      <c r="D41" s="242" t="s">
        <v>463</v>
      </c>
      <c r="E41" s="242"/>
      <c r="F41" s="242" t="s">
        <v>686</v>
      </c>
      <c r="G41" s="242" t="s">
        <v>35</v>
      </c>
      <c r="H41" s="242">
        <v>12428.602000000001</v>
      </c>
      <c r="I41" s="242"/>
      <c r="J41" s="242"/>
      <c r="K41" s="242">
        <v>0.58538800000000002</v>
      </c>
      <c r="L41" s="242">
        <v>0.58538800000000002</v>
      </c>
    </row>
    <row r="42" spans="1:12" hidden="1" x14ac:dyDescent="0.3">
      <c r="A42" s="252">
        <v>2024</v>
      </c>
      <c r="B42" s="242" t="s">
        <v>1091</v>
      </c>
      <c r="C42" s="242"/>
      <c r="D42" s="242" t="s">
        <v>463</v>
      </c>
      <c r="E42" s="242"/>
      <c r="F42" s="242" t="s">
        <v>686</v>
      </c>
      <c r="G42" s="242" t="s">
        <v>35</v>
      </c>
      <c r="H42" s="242">
        <v>49393.74</v>
      </c>
      <c r="I42" s="242"/>
      <c r="J42" s="242"/>
      <c r="K42" s="242">
        <v>1.5657080000000001</v>
      </c>
      <c r="L42" s="242">
        <v>1.5657080000000001</v>
      </c>
    </row>
    <row r="43" spans="1:12" ht="27" hidden="1" x14ac:dyDescent="0.3">
      <c r="A43" s="252">
        <v>2024</v>
      </c>
      <c r="B43" s="242" t="s">
        <v>1088</v>
      </c>
      <c r="C43" s="242"/>
      <c r="D43" s="242" t="s">
        <v>463</v>
      </c>
      <c r="E43" s="242"/>
      <c r="F43" s="242" t="s">
        <v>686</v>
      </c>
      <c r="G43" s="242" t="s">
        <v>35</v>
      </c>
      <c r="H43" s="242">
        <v>12428.602000000001</v>
      </c>
      <c r="I43" s="242"/>
      <c r="J43" s="242"/>
      <c r="K43" s="242">
        <v>0.257272</v>
      </c>
      <c r="L43" s="242">
        <v>0.257272</v>
      </c>
    </row>
    <row r="44" spans="1:12" ht="27" hidden="1" x14ac:dyDescent="0.3">
      <c r="A44" s="252">
        <v>2024</v>
      </c>
      <c r="B44" s="242" t="s">
        <v>1089</v>
      </c>
      <c r="C44" s="242"/>
      <c r="D44" s="242" t="s">
        <v>463</v>
      </c>
      <c r="E44" s="242"/>
      <c r="F44" s="242" t="s">
        <v>686</v>
      </c>
      <c r="G44" s="242" t="s">
        <v>1084</v>
      </c>
      <c r="H44" s="242">
        <v>8.4000000000000005E-2</v>
      </c>
      <c r="I44" s="242"/>
      <c r="J44" s="242"/>
      <c r="K44" s="242">
        <v>7.4399999999999998E-4</v>
      </c>
      <c r="L44" s="242">
        <v>7.4399999999999998E-4</v>
      </c>
    </row>
    <row r="45" spans="1:12" ht="27" hidden="1" x14ac:dyDescent="0.3">
      <c r="A45" s="252">
        <v>2024</v>
      </c>
      <c r="B45" s="242" t="s">
        <v>1083</v>
      </c>
      <c r="C45" s="242"/>
      <c r="D45" s="242" t="s">
        <v>463</v>
      </c>
      <c r="E45" s="242"/>
      <c r="F45" s="242" t="s">
        <v>686</v>
      </c>
      <c r="G45" s="242" t="s">
        <v>1084</v>
      </c>
      <c r="H45" s="242">
        <v>0.3</v>
      </c>
      <c r="I45" s="242"/>
      <c r="J45" s="242"/>
      <c r="K45" s="242">
        <v>1.92E-3</v>
      </c>
      <c r="L45" s="242">
        <v>1.92E-3</v>
      </c>
    </row>
    <row r="46" spans="1:12" hidden="1" x14ac:dyDescent="0.3">
      <c r="A46" s="252">
        <v>2024</v>
      </c>
      <c r="B46" s="242" t="s">
        <v>1085</v>
      </c>
      <c r="C46" s="242"/>
      <c r="D46" s="242" t="s">
        <v>463</v>
      </c>
      <c r="E46" s="242"/>
      <c r="F46" s="242" t="s">
        <v>686</v>
      </c>
      <c r="G46" s="242" t="s">
        <v>1084</v>
      </c>
      <c r="H46" s="242">
        <v>0.22800000000000001</v>
      </c>
      <c r="I46" s="242"/>
      <c r="J46" s="242"/>
      <c r="K46" s="242">
        <v>1.464E-3</v>
      </c>
      <c r="L46" s="242">
        <v>1.464E-3</v>
      </c>
    </row>
    <row r="47" spans="1:12" ht="27" hidden="1" x14ac:dyDescent="0.3">
      <c r="A47" s="252">
        <v>2024</v>
      </c>
      <c r="B47" s="242" t="s">
        <v>1087</v>
      </c>
      <c r="C47" s="242"/>
      <c r="D47" s="242" t="s">
        <v>463</v>
      </c>
      <c r="E47" s="242"/>
      <c r="F47" s="242" t="s">
        <v>686</v>
      </c>
      <c r="G47" s="242" t="s">
        <v>35</v>
      </c>
      <c r="H47" s="242">
        <v>5445.5039999999999</v>
      </c>
      <c r="I47" s="242"/>
      <c r="J47" s="242"/>
      <c r="K47" s="242">
        <v>2.4259430000000002</v>
      </c>
      <c r="L47" s="242">
        <v>1.579817</v>
      </c>
    </row>
    <row r="48" spans="1:12" ht="27" hidden="1" x14ac:dyDescent="0.3">
      <c r="A48" s="252">
        <v>2024</v>
      </c>
      <c r="B48" s="242" t="s">
        <v>1093</v>
      </c>
      <c r="C48" s="242"/>
      <c r="D48" s="242" t="s">
        <v>517</v>
      </c>
      <c r="E48" s="242"/>
      <c r="F48" s="242" t="s">
        <v>686</v>
      </c>
      <c r="G48" s="242" t="s">
        <v>35</v>
      </c>
      <c r="H48" s="242">
        <v>105144</v>
      </c>
      <c r="I48" s="242"/>
      <c r="J48" s="242"/>
      <c r="K48" s="242">
        <v>17.857524000000002</v>
      </c>
      <c r="L48" s="242">
        <v>17.857524000000002</v>
      </c>
    </row>
    <row r="49" spans="1:12" ht="27" hidden="1" x14ac:dyDescent="0.3">
      <c r="A49" s="252">
        <v>2024</v>
      </c>
      <c r="B49" s="242" t="s">
        <v>1089</v>
      </c>
      <c r="C49" s="242"/>
      <c r="D49" s="242" t="s">
        <v>517</v>
      </c>
      <c r="E49" s="242"/>
      <c r="F49" s="242" t="s">
        <v>686</v>
      </c>
      <c r="G49" s="242" t="s">
        <v>1084</v>
      </c>
      <c r="H49" s="242">
        <v>0.49199999999999999</v>
      </c>
      <c r="I49" s="242"/>
      <c r="J49" s="242"/>
      <c r="K49" s="242">
        <v>4.3800000000000002E-3</v>
      </c>
      <c r="L49" s="242">
        <v>4.3800000000000002E-3</v>
      </c>
    </row>
    <row r="50" spans="1:12" ht="27" hidden="1" x14ac:dyDescent="0.3">
      <c r="A50" s="252">
        <v>2024</v>
      </c>
      <c r="B50" s="242" t="s">
        <v>1083</v>
      </c>
      <c r="C50" s="242"/>
      <c r="D50" s="242" t="s">
        <v>517</v>
      </c>
      <c r="E50" s="242"/>
      <c r="F50" s="242" t="s">
        <v>686</v>
      </c>
      <c r="G50" s="242" t="s">
        <v>1084</v>
      </c>
      <c r="H50" s="242">
        <v>2.52</v>
      </c>
      <c r="I50" s="242"/>
      <c r="J50" s="242"/>
      <c r="K50" s="242">
        <v>1.6152E-2</v>
      </c>
      <c r="L50" s="242">
        <v>1.6152E-2</v>
      </c>
    </row>
    <row r="51" spans="1:12" hidden="1" x14ac:dyDescent="0.3">
      <c r="A51" s="252">
        <v>2024</v>
      </c>
      <c r="B51" s="242" t="s">
        <v>1085</v>
      </c>
      <c r="C51" s="242"/>
      <c r="D51" s="242" t="s">
        <v>517</v>
      </c>
      <c r="E51" s="242"/>
      <c r="F51" s="242" t="s">
        <v>686</v>
      </c>
      <c r="G51" s="242" t="s">
        <v>1084</v>
      </c>
      <c r="H51" s="242">
        <v>3.2519999999999998</v>
      </c>
      <c r="I51" s="242"/>
      <c r="J51" s="242"/>
      <c r="K51" s="242">
        <v>2.0844000000000001E-2</v>
      </c>
      <c r="L51" s="242">
        <v>2.0844000000000001E-2</v>
      </c>
    </row>
    <row r="52" spans="1:12" ht="27" hidden="1" x14ac:dyDescent="0.3">
      <c r="A52" s="252">
        <v>2024</v>
      </c>
      <c r="B52" s="242" t="s">
        <v>1092</v>
      </c>
      <c r="C52" s="242"/>
      <c r="D52" s="242" t="s">
        <v>517</v>
      </c>
      <c r="E52" s="242"/>
      <c r="F52" s="242" t="s">
        <v>686</v>
      </c>
      <c r="G52" s="242" t="s">
        <v>35</v>
      </c>
      <c r="H52" s="242">
        <v>165531.93599999999</v>
      </c>
      <c r="I52" s="242"/>
      <c r="J52" s="242"/>
      <c r="K52" s="242">
        <v>73.743660000000006</v>
      </c>
      <c r="L52" s="242">
        <v>48.023147999999999</v>
      </c>
    </row>
    <row r="53" spans="1:12" x14ac:dyDescent="0.3">
      <c r="A53" s="252">
        <v>2024</v>
      </c>
      <c r="B53" s="242" t="s">
        <v>1078</v>
      </c>
      <c r="C53" s="242"/>
      <c r="D53" s="242" t="s">
        <v>460</v>
      </c>
      <c r="E53" s="242"/>
      <c r="F53" s="242" t="s">
        <v>1079</v>
      </c>
      <c r="G53" s="242" t="s">
        <v>35</v>
      </c>
      <c r="H53" s="242">
        <v>265231.56</v>
      </c>
      <c r="I53" s="242"/>
      <c r="J53" s="242"/>
      <c r="K53" s="242">
        <v>45.046669999999999</v>
      </c>
      <c r="L53" s="242">
        <v>45.046669999999999</v>
      </c>
    </row>
    <row r="54" spans="1:12" x14ac:dyDescent="0.3">
      <c r="A54" s="252">
        <v>2024</v>
      </c>
      <c r="B54" s="242" t="s">
        <v>1080</v>
      </c>
      <c r="C54" s="242"/>
      <c r="D54" s="242" t="s">
        <v>460</v>
      </c>
      <c r="E54" s="242"/>
      <c r="F54" s="242" t="s">
        <v>1081</v>
      </c>
      <c r="G54" s="242" t="s">
        <v>35</v>
      </c>
      <c r="H54" s="242">
        <v>152098.79999999999</v>
      </c>
      <c r="I54" s="242"/>
      <c r="J54" s="242"/>
      <c r="K54" s="242">
        <v>67.759266999999994</v>
      </c>
      <c r="L54" s="242">
        <v>44.126004999999999</v>
      </c>
    </row>
    <row r="55" spans="1:12" x14ac:dyDescent="0.3">
      <c r="A55" s="252">
        <v>2024</v>
      </c>
      <c r="B55" s="242" t="s">
        <v>1082</v>
      </c>
      <c r="C55" s="242"/>
      <c r="D55" s="242" t="s">
        <v>460</v>
      </c>
      <c r="E55" s="242"/>
      <c r="F55" s="242" t="s">
        <v>1081</v>
      </c>
      <c r="G55" s="242" t="s">
        <v>35</v>
      </c>
      <c r="H55" s="242">
        <v>152098.79999999999</v>
      </c>
      <c r="I55" s="242"/>
      <c r="J55" s="242"/>
      <c r="K55" s="242">
        <v>-67.759266999999994</v>
      </c>
      <c r="L55" s="242"/>
    </row>
    <row r="56" spans="1:12" hidden="1" x14ac:dyDescent="0.3">
      <c r="A56" s="252">
        <v>2024</v>
      </c>
      <c r="B56" s="242" t="s">
        <v>1091</v>
      </c>
      <c r="C56" s="242"/>
      <c r="D56" s="242" t="s">
        <v>460</v>
      </c>
      <c r="E56" s="242"/>
      <c r="F56" s="242" t="s">
        <v>686</v>
      </c>
      <c r="G56" s="242" t="s">
        <v>35</v>
      </c>
      <c r="H56" s="253">
        <v>262744.185</v>
      </c>
      <c r="I56" s="242"/>
      <c r="J56" s="242"/>
      <c r="K56" s="242">
        <v>8.3285959999999992</v>
      </c>
      <c r="L56" s="242">
        <v>8.3285959999999992</v>
      </c>
    </row>
    <row r="57" spans="1:12" ht="27" hidden="1" x14ac:dyDescent="0.3">
      <c r="A57" s="252">
        <v>2024</v>
      </c>
      <c r="B57" s="242" t="s">
        <v>1087</v>
      </c>
      <c r="C57" s="242"/>
      <c r="D57" s="242" t="s">
        <v>460</v>
      </c>
      <c r="E57" s="242"/>
      <c r="F57" s="242" t="s">
        <v>686</v>
      </c>
      <c r="G57" s="242" t="s">
        <v>35</v>
      </c>
      <c r="H57" s="253">
        <v>300700.73499999999</v>
      </c>
      <c r="I57" s="242"/>
      <c r="J57" s="242"/>
      <c r="K57" s="242">
        <v>133.96069600000001</v>
      </c>
      <c r="L57" s="242">
        <v>87.237521999999998</v>
      </c>
    </row>
    <row r="58" spans="1:12" ht="27" hidden="1" x14ac:dyDescent="0.3">
      <c r="A58" s="252">
        <v>2024</v>
      </c>
      <c r="B58" s="242" t="s">
        <v>1088</v>
      </c>
      <c r="C58" s="242"/>
      <c r="D58" s="242" t="s">
        <v>460</v>
      </c>
      <c r="E58" s="242"/>
      <c r="F58" s="242" t="s">
        <v>686</v>
      </c>
      <c r="G58" s="242" t="s">
        <v>35</v>
      </c>
      <c r="H58" s="242">
        <v>152098.79999999999</v>
      </c>
      <c r="I58" s="242"/>
      <c r="J58" s="242"/>
      <c r="K58" s="242">
        <v>3.148444</v>
      </c>
      <c r="L58" s="242">
        <v>3.148444</v>
      </c>
    </row>
    <row r="59" spans="1:12" ht="27" hidden="1" x14ac:dyDescent="0.3">
      <c r="A59" s="252">
        <v>2024</v>
      </c>
      <c r="B59" s="242" t="s">
        <v>1089</v>
      </c>
      <c r="C59" s="242"/>
      <c r="D59" s="242" t="s">
        <v>460</v>
      </c>
      <c r="E59" s="242"/>
      <c r="F59" s="242" t="s">
        <v>686</v>
      </c>
      <c r="G59" s="242" t="s">
        <v>1084</v>
      </c>
      <c r="H59" s="242">
        <v>1.819</v>
      </c>
      <c r="I59" s="242"/>
      <c r="J59" s="242"/>
      <c r="K59" s="242">
        <v>1.6209999999999999E-2</v>
      </c>
      <c r="L59" s="242">
        <v>1.6209999999999999E-2</v>
      </c>
    </row>
    <row r="60" spans="1:12" ht="27" hidden="1" x14ac:dyDescent="0.3">
      <c r="A60" s="252">
        <v>2024</v>
      </c>
      <c r="B60" s="242" t="s">
        <v>1083</v>
      </c>
      <c r="C60" s="242"/>
      <c r="D60" s="242" t="s">
        <v>460</v>
      </c>
      <c r="E60" s="242"/>
      <c r="F60" s="242" t="s">
        <v>686</v>
      </c>
      <c r="G60" s="242" t="s">
        <v>1084</v>
      </c>
      <c r="H60" s="242">
        <v>4.8049999999999997</v>
      </c>
      <c r="I60" s="242"/>
      <c r="J60" s="242"/>
      <c r="K60" s="242">
        <v>3.0803000000000001E-2</v>
      </c>
      <c r="L60" s="242">
        <v>3.0803000000000001E-2</v>
      </c>
    </row>
    <row r="61" spans="1:12" hidden="1" x14ac:dyDescent="0.3">
      <c r="A61" s="252">
        <v>2024</v>
      </c>
      <c r="B61" s="242" t="s">
        <v>1085</v>
      </c>
      <c r="C61" s="242"/>
      <c r="D61" s="242" t="s">
        <v>460</v>
      </c>
      <c r="E61" s="242"/>
      <c r="F61" s="242" t="s">
        <v>686</v>
      </c>
      <c r="G61" s="242" t="s">
        <v>1084</v>
      </c>
      <c r="H61" s="242">
        <v>3.6539999999999999</v>
      </c>
      <c r="I61" s="242"/>
      <c r="J61" s="242"/>
      <c r="K61" s="242">
        <v>2.3424E-2</v>
      </c>
      <c r="L61" s="242">
        <v>2.3424E-2</v>
      </c>
    </row>
    <row r="62" spans="1:12" ht="27" hidden="1" x14ac:dyDescent="0.3">
      <c r="A62" s="252">
        <v>2024</v>
      </c>
      <c r="B62" s="242" t="s">
        <v>1086</v>
      </c>
      <c r="C62" s="242"/>
      <c r="D62" s="242" t="s">
        <v>460</v>
      </c>
      <c r="E62" s="242"/>
      <c r="F62" s="242" t="s">
        <v>686</v>
      </c>
      <c r="G62" s="242" t="s">
        <v>35</v>
      </c>
      <c r="H62" s="253">
        <v>56838.735999999997</v>
      </c>
      <c r="I62" s="242"/>
      <c r="J62" s="242"/>
      <c r="K62" s="242">
        <v>-25.321376999999998</v>
      </c>
      <c r="L62" s="242"/>
    </row>
    <row r="63" spans="1:12" hidden="1" x14ac:dyDescent="0.3">
      <c r="A63" s="252">
        <v>2024</v>
      </c>
      <c r="B63" s="242" t="s">
        <v>1090</v>
      </c>
      <c r="C63" s="242"/>
      <c r="D63" s="242" t="s">
        <v>460</v>
      </c>
      <c r="E63" s="242"/>
      <c r="F63" s="242" t="s">
        <v>686</v>
      </c>
      <c r="G63" s="242" t="s">
        <v>35</v>
      </c>
      <c r="H63" s="242">
        <v>152098.79999999999</v>
      </c>
      <c r="I63" s="242"/>
      <c r="J63" s="242"/>
      <c r="K63" s="242">
        <v>7.1638549999999999</v>
      </c>
      <c r="L63" s="242">
        <v>7.1638549999999999</v>
      </c>
    </row>
    <row r="64" spans="1:12" x14ac:dyDescent="0.3">
      <c r="A64" s="252">
        <v>2024</v>
      </c>
      <c r="B64" s="242" t="s">
        <v>1078</v>
      </c>
      <c r="C64" s="242"/>
      <c r="D64" s="242" t="s">
        <v>1094</v>
      </c>
      <c r="E64" s="242"/>
      <c r="F64" s="242" t="s">
        <v>1079</v>
      </c>
      <c r="G64" s="242" t="s">
        <v>35</v>
      </c>
      <c r="H64" s="242">
        <v>494235.88500000001</v>
      </c>
      <c r="I64" s="242"/>
      <c r="J64" s="242"/>
      <c r="K64" s="242">
        <v>83.940545</v>
      </c>
      <c r="L64" s="242">
        <v>83.940545</v>
      </c>
    </row>
    <row r="65" spans="1:12" x14ac:dyDescent="0.3">
      <c r="A65" s="252">
        <v>2024</v>
      </c>
      <c r="B65" s="242" t="s">
        <v>1080</v>
      </c>
      <c r="C65" s="242"/>
      <c r="D65" s="242" t="s">
        <v>1094</v>
      </c>
      <c r="E65" s="242"/>
      <c r="F65" s="242" t="s">
        <v>1081</v>
      </c>
      <c r="G65" s="242" t="s">
        <v>35</v>
      </c>
      <c r="H65" s="242">
        <v>228275.929</v>
      </c>
      <c r="I65" s="242"/>
      <c r="J65" s="242"/>
      <c r="K65" s="242">
        <v>101.695801</v>
      </c>
      <c r="L65" s="242">
        <v>66.226066000000003</v>
      </c>
    </row>
    <row r="66" spans="1:12" x14ac:dyDescent="0.3">
      <c r="A66" s="252">
        <v>2024</v>
      </c>
      <c r="B66" s="242" t="s">
        <v>1082</v>
      </c>
      <c r="C66" s="242"/>
      <c r="D66" s="242" t="s">
        <v>1094</v>
      </c>
      <c r="E66" s="242"/>
      <c r="F66" s="242" t="s">
        <v>1081</v>
      </c>
      <c r="G66" s="242" t="s">
        <v>35</v>
      </c>
      <c r="H66" s="242">
        <v>228275.929</v>
      </c>
      <c r="I66" s="242"/>
      <c r="J66" s="242"/>
      <c r="K66" s="242">
        <v>-101.695801</v>
      </c>
      <c r="L66" s="242"/>
    </row>
    <row r="67" spans="1:12" hidden="1" x14ac:dyDescent="0.3">
      <c r="A67" s="252">
        <v>2024</v>
      </c>
      <c r="B67" s="242" t="s">
        <v>1091</v>
      </c>
      <c r="C67" s="242"/>
      <c r="D67" s="242" t="s">
        <v>1094</v>
      </c>
      <c r="E67" s="242"/>
      <c r="F67" s="242" t="s">
        <v>686</v>
      </c>
      <c r="G67" s="242" t="s">
        <v>35</v>
      </c>
      <c r="H67" s="253">
        <v>531557.56499999994</v>
      </c>
      <c r="I67" s="242"/>
      <c r="J67" s="242"/>
      <c r="K67" s="242">
        <v>16.849577</v>
      </c>
      <c r="L67" s="242">
        <v>16.849577</v>
      </c>
    </row>
    <row r="68" spans="1:12" ht="27" hidden="1" x14ac:dyDescent="0.3">
      <c r="A68" s="252">
        <v>2024</v>
      </c>
      <c r="B68" s="242" t="s">
        <v>1087</v>
      </c>
      <c r="C68" s="242"/>
      <c r="D68" s="242" t="s">
        <v>1094</v>
      </c>
      <c r="E68" s="242"/>
      <c r="F68" s="242" t="s">
        <v>686</v>
      </c>
      <c r="G68" s="242" t="s">
        <v>35</v>
      </c>
      <c r="H68" s="253">
        <v>318406</v>
      </c>
      <c r="I68" s="242"/>
      <c r="J68" s="242"/>
      <c r="K68" s="242">
        <v>141.84830400000001</v>
      </c>
      <c r="L68" s="242">
        <v>92.374071000000001</v>
      </c>
    </row>
    <row r="69" spans="1:12" ht="27" hidden="1" x14ac:dyDescent="0.3">
      <c r="A69" s="252">
        <v>2024</v>
      </c>
      <c r="B69" s="242" t="s">
        <v>1088</v>
      </c>
      <c r="C69" s="242"/>
      <c r="D69" s="242" t="s">
        <v>1094</v>
      </c>
      <c r="E69" s="242"/>
      <c r="F69" s="242" t="s">
        <v>686</v>
      </c>
      <c r="G69" s="242" t="s">
        <v>35</v>
      </c>
      <c r="H69" s="242">
        <v>228275.929</v>
      </c>
      <c r="I69" s="242"/>
      <c r="J69" s="242"/>
      <c r="K69" s="242">
        <v>4.725314</v>
      </c>
      <c r="L69" s="242">
        <v>4.725314</v>
      </c>
    </row>
    <row r="70" spans="1:12" ht="27" hidden="1" x14ac:dyDescent="0.3">
      <c r="A70" s="252">
        <v>2024</v>
      </c>
      <c r="B70" s="242" t="s">
        <v>1089</v>
      </c>
      <c r="C70" s="242"/>
      <c r="D70" s="242" t="s">
        <v>1094</v>
      </c>
      <c r="E70" s="242"/>
      <c r="F70" s="242" t="s">
        <v>686</v>
      </c>
      <c r="G70" s="242" t="s">
        <v>1084</v>
      </c>
      <c r="H70" s="242">
        <v>2.4319999999999999</v>
      </c>
      <c r="I70" s="242"/>
      <c r="J70" s="242"/>
      <c r="K70" s="242">
        <v>2.1676000000000001E-2</v>
      </c>
      <c r="L70" s="242">
        <v>2.1676000000000001E-2</v>
      </c>
    </row>
    <row r="71" spans="1:12" ht="27" hidden="1" x14ac:dyDescent="0.3">
      <c r="A71" s="252">
        <v>2024</v>
      </c>
      <c r="B71" s="242" t="s">
        <v>1083</v>
      </c>
      <c r="C71" s="242"/>
      <c r="D71" s="242" t="s">
        <v>1094</v>
      </c>
      <c r="E71" s="242"/>
      <c r="F71" s="242" t="s">
        <v>686</v>
      </c>
      <c r="G71" s="242" t="s">
        <v>1084</v>
      </c>
      <c r="H71" s="242">
        <v>20.908000000000001</v>
      </c>
      <c r="I71" s="242"/>
      <c r="J71" s="242"/>
      <c r="K71" s="242">
        <v>0.13403100000000001</v>
      </c>
      <c r="L71" s="242">
        <v>0.13403100000000001</v>
      </c>
    </row>
    <row r="72" spans="1:12" hidden="1" x14ac:dyDescent="0.3">
      <c r="A72" s="252">
        <v>2024</v>
      </c>
      <c r="B72" s="242" t="s">
        <v>1085</v>
      </c>
      <c r="C72" s="242"/>
      <c r="D72" s="242" t="s">
        <v>1094</v>
      </c>
      <c r="E72" s="242"/>
      <c r="F72" s="242" t="s">
        <v>686</v>
      </c>
      <c r="G72" s="242" t="s">
        <v>1084</v>
      </c>
      <c r="H72" s="242">
        <v>5.8879999999999999</v>
      </c>
      <c r="I72" s="242"/>
      <c r="J72" s="242"/>
      <c r="K72" s="242">
        <v>3.7745000000000001E-2</v>
      </c>
      <c r="L72" s="242">
        <v>3.7745000000000001E-2</v>
      </c>
    </row>
    <row r="73" spans="1:12" ht="27" hidden="1" x14ac:dyDescent="0.3">
      <c r="A73" s="252">
        <v>2024</v>
      </c>
      <c r="B73" s="242" t="s">
        <v>1086</v>
      </c>
      <c r="C73" s="242"/>
      <c r="D73" s="242" t="s">
        <v>1094</v>
      </c>
      <c r="E73" s="242"/>
      <c r="F73" s="242" t="s">
        <v>686</v>
      </c>
      <c r="G73" s="242" t="s">
        <v>35</v>
      </c>
      <c r="H73" s="242">
        <v>185706</v>
      </c>
      <c r="I73" s="242"/>
      <c r="J73" s="242"/>
      <c r="K73" s="242">
        <v>-82.731106999999994</v>
      </c>
      <c r="L73" s="242"/>
    </row>
    <row r="74" spans="1:12" hidden="1" x14ac:dyDescent="0.3">
      <c r="A74" s="252">
        <v>2024</v>
      </c>
      <c r="B74" s="242" t="s">
        <v>1090</v>
      </c>
      <c r="C74" s="242"/>
      <c r="D74" s="242" t="s">
        <v>1094</v>
      </c>
      <c r="E74" s="242"/>
      <c r="F74" s="242" t="s">
        <v>686</v>
      </c>
      <c r="G74" s="242" t="s">
        <v>35</v>
      </c>
      <c r="H74" s="242">
        <v>228275.929</v>
      </c>
      <c r="I74" s="242"/>
      <c r="J74" s="242"/>
      <c r="K74" s="242">
        <v>10.751797</v>
      </c>
      <c r="L74" s="242">
        <v>10.751797</v>
      </c>
    </row>
    <row r="75" spans="1:12" x14ac:dyDescent="0.3">
      <c r="A75" s="252">
        <v>2024</v>
      </c>
      <c r="B75" s="242" t="s">
        <v>1078</v>
      </c>
      <c r="C75" s="242"/>
      <c r="D75" s="242" t="s">
        <v>1095</v>
      </c>
      <c r="E75" s="242"/>
      <c r="F75" s="242" t="s">
        <v>1079</v>
      </c>
      <c r="G75" s="242" t="s">
        <v>35</v>
      </c>
      <c r="H75" s="253">
        <v>115347.87</v>
      </c>
      <c r="I75" s="242"/>
      <c r="J75" s="242"/>
      <c r="K75" s="242">
        <v>19.59057</v>
      </c>
      <c r="L75" s="242">
        <v>19.59057</v>
      </c>
    </row>
    <row r="76" spans="1:12" x14ac:dyDescent="0.3">
      <c r="A76" s="252">
        <v>2024</v>
      </c>
      <c r="B76" s="242" t="s">
        <v>1080</v>
      </c>
      <c r="C76" s="242"/>
      <c r="D76" s="242" t="s">
        <v>1095</v>
      </c>
      <c r="E76" s="242"/>
      <c r="F76" s="242" t="s">
        <v>1081</v>
      </c>
      <c r="G76" s="242" t="s">
        <v>35</v>
      </c>
      <c r="H76" s="242">
        <v>165093.91</v>
      </c>
      <c r="I76" s="242"/>
      <c r="J76" s="242"/>
      <c r="K76" s="242">
        <v>73.548524</v>
      </c>
      <c r="L76" s="242">
        <v>47.896070000000002</v>
      </c>
    </row>
    <row r="77" spans="1:12" x14ac:dyDescent="0.3">
      <c r="A77" s="252">
        <v>2024</v>
      </c>
      <c r="B77" s="242" t="s">
        <v>1082</v>
      </c>
      <c r="C77" s="242"/>
      <c r="D77" s="242" t="s">
        <v>1095</v>
      </c>
      <c r="E77" s="242"/>
      <c r="F77" s="242" t="s">
        <v>1081</v>
      </c>
      <c r="G77" s="242" t="s">
        <v>35</v>
      </c>
      <c r="H77" s="253">
        <v>165093.91</v>
      </c>
      <c r="I77" s="242"/>
      <c r="J77" s="242"/>
      <c r="K77" s="242">
        <v>-73.548524</v>
      </c>
      <c r="L77" s="242"/>
    </row>
    <row r="78" spans="1:12" ht="27" hidden="1" x14ac:dyDescent="0.3">
      <c r="A78" s="252">
        <v>2024</v>
      </c>
      <c r="B78" s="242" t="s">
        <v>1083</v>
      </c>
      <c r="C78" s="242"/>
      <c r="D78" s="242" t="s">
        <v>1095</v>
      </c>
      <c r="E78" s="242"/>
      <c r="F78" s="242" t="s">
        <v>686</v>
      </c>
      <c r="G78" s="242" t="s">
        <v>1084</v>
      </c>
      <c r="H78" s="242">
        <v>3.327</v>
      </c>
      <c r="I78" s="242"/>
      <c r="J78" s="242"/>
      <c r="K78" s="242">
        <v>2.1328E-2</v>
      </c>
      <c r="L78" s="242">
        <v>2.1328E-2</v>
      </c>
    </row>
    <row r="79" spans="1:12" hidden="1" x14ac:dyDescent="0.3">
      <c r="A79" s="252">
        <v>2024</v>
      </c>
      <c r="B79" s="242" t="s">
        <v>1085</v>
      </c>
      <c r="C79" s="242"/>
      <c r="D79" s="242" t="s">
        <v>1095</v>
      </c>
      <c r="E79" s="242"/>
      <c r="F79" s="242" t="s">
        <v>686</v>
      </c>
      <c r="G79" s="242" t="s">
        <v>1084</v>
      </c>
      <c r="H79" s="242">
        <v>4.3250000000000002</v>
      </c>
      <c r="I79" s="242"/>
      <c r="J79" s="242"/>
      <c r="K79" s="242">
        <v>2.7726000000000001E-2</v>
      </c>
      <c r="L79" s="242">
        <v>2.7726000000000001E-2</v>
      </c>
    </row>
    <row r="80" spans="1:12" ht="27" hidden="1" x14ac:dyDescent="0.3">
      <c r="A80" s="252">
        <v>2024</v>
      </c>
      <c r="B80" s="242" t="s">
        <v>1086</v>
      </c>
      <c r="C80" s="242"/>
      <c r="D80" s="242" t="s">
        <v>1095</v>
      </c>
      <c r="E80" s="242"/>
      <c r="F80" s="242" t="s">
        <v>686</v>
      </c>
      <c r="G80" s="242" t="s">
        <v>35</v>
      </c>
      <c r="H80" s="242">
        <v>552783.23199999996</v>
      </c>
      <c r="I80" s="242"/>
      <c r="J80" s="242"/>
      <c r="K80" s="242">
        <v>-246.262202</v>
      </c>
      <c r="L80" s="242"/>
    </row>
    <row r="81" spans="1:12" hidden="1" x14ac:dyDescent="0.3">
      <c r="A81" s="252">
        <v>2024</v>
      </c>
      <c r="B81" s="242" t="s">
        <v>1090</v>
      </c>
      <c r="C81" s="242"/>
      <c r="D81" s="242" t="s">
        <v>1095</v>
      </c>
      <c r="E81" s="242"/>
      <c r="F81" s="242" t="s">
        <v>686</v>
      </c>
      <c r="G81" s="242" t="s">
        <v>35</v>
      </c>
      <c r="H81" s="242">
        <v>165093.91</v>
      </c>
      <c r="I81" s="242"/>
      <c r="J81" s="242"/>
      <c r="K81" s="242">
        <v>7.7759229999999997</v>
      </c>
      <c r="L81" s="242">
        <v>7.7759229999999997</v>
      </c>
    </row>
    <row r="82" spans="1:12" hidden="1" x14ac:dyDescent="0.3">
      <c r="A82" s="252">
        <v>2024</v>
      </c>
      <c r="B82" s="242" t="s">
        <v>1091</v>
      </c>
      <c r="C82" s="242"/>
      <c r="D82" s="242" t="s">
        <v>1095</v>
      </c>
      <c r="E82" s="242"/>
      <c r="F82" s="242" t="s">
        <v>686</v>
      </c>
      <c r="G82" s="242" t="s">
        <v>35</v>
      </c>
      <c r="H82" s="242">
        <v>109941.97500000001</v>
      </c>
      <c r="I82" s="242"/>
      <c r="J82" s="242"/>
      <c r="K82" s="242">
        <v>3.4849950000000001</v>
      </c>
      <c r="L82" s="242">
        <v>3.4849950000000001</v>
      </c>
    </row>
    <row r="83" spans="1:12" ht="27" hidden="1" x14ac:dyDescent="0.3">
      <c r="A83" s="252">
        <v>2024</v>
      </c>
      <c r="B83" s="242" t="s">
        <v>1087</v>
      </c>
      <c r="C83" s="242"/>
      <c r="D83" s="242" t="s">
        <v>1095</v>
      </c>
      <c r="E83" s="242"/>
      <c r="F83" s="242" t="s">
        <v>686</v>
      </c>
      <c r="G83" s="242" t="s">
        <v>35</v>
      </c>
      <c r="H83" s="242">
        <v>621683.23199999996</v>
      </c>
      <c r="I83" s="242"/>
      <c r="J83" s="242"/>
      <c r="K83" s="242">
        <v>276.956816</v>
      </c>
      <c r="L83" s="242">
        <v>180.359073</v>
      </c>
    </row>
    <row r="84" spans="1:12" ht="27" hidden="1" x14ac:dyDescent="0.3">
      <c r="A84" s="252">
        <v>2024</v>
      </c>
      <c r="B84" s="242" t="s">
        <v>1088</v>
      </c>
      <c r="C84" s="242"/>
      <c r="D84" s="242" t="s">
        <v>1095</v>
      </c>
      <c r="E84" s="242"/>
      <c r="F84" s="242" t="s">
        <v>686</v>
      </c>
      <c r="G84" s="242" t="s">
        <v>35</v>
      </c>
      <c r="H84" s="242">
        <v>165093.91</v>
      </c>
      <c r="I84" s="242"/>
      <c r="J84" s="242"/>
      <c r="K84" s="242">
        <v>3.4174440000000001</v>
      </c>
      <c r="L84" s="242">
        <v>3.4174440000000001</v>
      </c>
    </row>
    <row r="85" spans="1:12" ht="27" hidden="1" x14ac:dyDescent="0.3">
      <c r="A85" s="252">
        <v>2024</v>
      </c>
      <c r="B85" s="242" t="s">
        <v>1089</v>
      </c>
      <c r="C85" s="242"/>
      <c r="D85" s="242" t="s">
        <v>1095</v>
      </c>
      <c r="E85" s="242"/>
      <c r="F85" s="242" t="s">
        <v>686</v>
      </c>
      <c r="G85" s="242" t="s">
        <v>1084</v>
      </c>
      <c r="H85" s="242">
        <v>2.4049999999999998</v>
      </c>
      <c r="I85" s="242"/>
      <c r="J85" s="242"/>
      <c r="K85" s="242">
        <v>2.1434999999999999E-2</v>
      </c>
      <c r="L85" s="242">
        <v>2.1434999999999999E-2</v>
      </c>
    </row>
    <row r="86" spans="1:12" x14ac:dyDescent="0.3">
      <c r="A86" s="252">
        <v>2024</v>
      </c>
      <c r="B86" s="242" t="s">
        <v>1080</v>
      </c>
      <c r="C86" s="242"/>
      <c r="D86" s="242" t="s">
        <v>456</v>
      </c>
      <c r="E86" s="242"/>
      <c r="F86" s="242" t="s">
        <v>1081</v>
      </c>
      <c r="G86" s="242" t="s">
        <v>35</v>
      </c>
      <c r="H86" s="242">
        <v>67899</v>
      </c>
      <c r="I86" s="242"/>
      <c r="J86" s="242"/>
      <c r="K86" s="242">
        <v>30.248669</v>
      </c>
      <c r="L86" s="242">
        <v>19.698459</v>
      </c>
    </row>
    <row r="87" spans="1:12" x14ac:dyDescent="0.3">
      <c r="A87" s="252">
        <v>2024</v>
      </c>
      <c r="B87" s="242" t="s">
        <v>1082</v>
      </c>
      <c r="C87" s="242"/>
      <c r="D87" s="242" t="s">
        <v>456</v>
      </c>
      <c r="E87" s="242"/>
      <c r="F87" s="242" t="s">
        <v>1081</v>
      </c>
      <c r="G87" s="242" t="s">
        <v>35</v>
      </c>
      <c r="H87" s="253">
        <v>67899</v>
      </c>
      <c r="I87" s="242"/>
      <c r="J87" s="242"/>
      <c r="K87" s="242">
        <v>-30.248669</v>
      </c>
      <c r="L87" s="242"/>
    </row>
    <row r="88" spans="1:12" ht="27" hidden="1" x14ac:dyDescent="0.3">
      <c r="A88" s="252">
        <v>2024</v>
      </c>
      <c r="B88" s="242" t="s">
        <v>1087</v>
      </c>
      <c r="C88" s="242"/>
      <c r="D88" s="242" t="s">
        <v>456</v>
      </c>
      <c r="E88" s="242"/>
      <c r="F88" s="242" t="s">
        <v>686</v>
      </c>
      <c r="G88" s="242" t="s">
        <v>35</v>
      </c>
      <c r="H88" s="253">
        <v>150360.99600000001</v>
      </c>
      <c r="I88" s="242"/>
      <c r="J88" s="242"/>
      <c r="K88" s="242">
        <v>66.985079999999996</v>
      </c>
      <c r="L88" s="242">
        <v>43.621836000000002</v>
      </c>
    </row>
    <row r="89" spans="1:12" ht="27" hidden="1" x14ac:dyDescent="0.3">
      <c r="A89" s="252">
        <v>2024</v>
      </c>
      <c r="B89" s="242" t="s">
        <v>1088</v>
      </c>
      <c r="C89" s="242"/>
      <c r="D89" s="242" t="s">
        <v>456</v>
      </c>
      <c r="E89" s="242"/>
      <c r="F89" s="242" t="s">
        <v>686</v>
      </c>
      <c r="G89" s="242" t="s">
        <v>35</v>
      </c>
      <c r="H89" s="253">
        <v>58589.866000000002</v>
      </c>
      <c r="I89" s="242"/>
      <c r="J89" s="242"/>
      <c r="K89" s="242">
        <v>1.2128099999999999</v>
      </c>
      <c r="L89" s="242">
        <v>1.2128099999999999</v>
      </c>
    </row>
    <row r="90" spans="1:12" ht="27" hidden="1" x14ac:dyDescent="0.3">
      <c r="A90" s="252">
        <v>2024</v>
      </c>
      <c r="B90" s="242" t="s">
        <v>1093</v>
      </c>
      <c r="C90" s="242"/>
      <c r="D90" s="242" t="s">
        <v>456</v>
      </c>
      <c r="E90" s="242"/>
      <c r="F90" s="242" t="s">
        <v>686</v>
      </c>
      <c r="G90" s="242" t="s">
        <v>35</v>
      </c>
      <c r="H90" s="242">
        <v>483686.304</v>
      </c>
      <c r="I90" s="242"/>
      <c r="J90" s="242"/>
      <c r="K90" s="242">
        <v>82.148688000000007</v>
      </c>
      <c r="L90" s="242">
        <v>82.148688000000007</v>
      </c>
    </row>
    <row r="91" spans="1:12" ht="27" hidden="1" x14ac:dyDescent="0.3">
      <c r="A91" s="252">
        <v>2024</v>
      </c>
      <c r="B91" s="242" t="s">
        <v>1089</v>
      </c>
      <c r="C91" s="242"/>
      <c r="D91" s="242" t="s">
        <v>456</v>
      </c>
      <c r="E91" s="242"/>
      <c r="F91" s="242" t="s">
        <v>686</v>
      </c>
      <c r="G91" s="242" t="s">
        <v>1084</v>
      </c>
      <c r="H91" s="242">
        <v>2.8580000000000001</v>
      </c>
      <c r="I91" s="242"/>
      <c r="J91" s="242"/>
      <c r="K91" s="242">
        <v>2.5472000000000002E-2</v>
      </c>
      <c r="L91" s="242">
        <v>2.5472000000000002E-2</v>
      </c>
    </row>
    <row r="92" spans="1:12" ht="27" hidden="1" x14ac:dyDescent="0.3">
      <c r="A92" s="252">
        <v>2024</v>
      </c>
      <c r="B92" s="242" t="s">
        <v>1083</v>
      </c>
      <c r="C92" s="242"/>
      <c r="D92" s="242" t="s">
        <v>456</v>
      </c>
      <c r="E92" s="242"/>
      <c r="F92" s="242" t="s">
        <v>686</v>
      </c>
      <c r="G92" s="242" t="s">
        <v>1084</v>
      </c>
      <c r="H92" s="242">
        <v>16.672999999999998</v>
      </c>
      <c r="I92" s="242"/>
      <c r="J92" s="242"/>
      <c r="K92" s="242">
        <v>0.10688300000000001</v>
      </c>
      <c r="L92" s="242">
        <v>0.10688300000000001</v>
      </c>
    </row>
    <row r="93" spans="1:12" hidden="1" x14ac:dyDescent="0.3">
      <c r="A93" s="252">
        <v>2024</v>
      </c>
      <c r="B93" s="242" t="s">
        <v>1085</v>
      </c>
      <c r="C93" s="242"/>
      <c r="D93" s="242" t="s">
        <v>456</v>
      </c>
      <c r="E93" s="242"/>
      <c r="F93" s="242" t="s">
        <v>686</v>
      </c>
      <c r="G93" s="242" t="s">
        <v>1084</v>
      </c>
      <c r="H93" s="242">
        <v>24.027999999999999</v>
      </c>
      <c r="I93" s="242"/>
      <c r="J93" s="242"/>
      <c r="K93" s="242">
        <v>0.15403500000000001</v>
      </c>
      <c r="L93" s="242">
        <v>0.15403500000000001</v>
      </c>
    </row>
    <row r="94" spans="1:12" hidden="1" x14ac:dyDescent="0.3">
      <c r="A94" s="252">
        <v>2024</v>
      </c>
      <c r="B94" s="242" t="s">
        <v>1090</v>
      </c>
      <c r="C94" s="242"/>
      <c r="D94" s="242" t="s">
        <v>456</v>
      </c>
      <c r="E94" s="242"/>
      <c r="F94" s="242" t="s">
        <v>686</v>
      </c>
      <c r="G94" s="242" t="s">
        <v>35</v>
      </c>
      <c r="H94" s="253">
        <v>58589.866000000002</v>
      </c>
      <c r="I94" s="242"/>
      <c r="J94" s="242"/>
      <c r="K94" s="242">
        <v>2.7595809999999998</v>
      </c>
      <c r="L94" s="242">
        <v>2.7595809999999998</v>
      </c>
    </row>
    <row r="95" spans="1:12" ht="27" hidden="1" x14ac:dyDescent="0.3">
      <c r="A95" s="252">
        <v>2024</v>
      </c>
      <c r="B95" s="242" t="s">
        <v>1092</v>
      </c>
      <c r="C95" s="242"/>
      <c r="D95" s="242" t="s">
        <v>835</v>
      </c>
      <c r="E95" s="242"/>
      <c r="F95" s="242" t="s">
        <v>686</v>
      </c>
      <c r="G95" s="242" t="s">
        <v>35</v>
      </c>
      <c r="H95" s="242">
        <v>236288.07</v>
      </c>
      <c r="I95" s="242"/>
      <c r="J95" s="242"/>
      <c r="K95" s="242">
        <v>105.26517</v>
      </c>
      <c r="L95" s="242">
        <v>68.550498000000005</v>
      </c>
    </row>
    <row r="96" spans="1:12" ht="27" hidden="1" x14ac:dyDescent="0.3">
      <c r="A96" s="252">
        <v>2024</v>
      </c>
      <c r="B96" s="242" t="s">
        <v>1093</v>
      </c>
      <c r="C96" s="242"/>
      <c r="D96" s="242" t="s">
        <v>835</v>
      </c>
      <c r="E96" s="242"/>
      <c r="F96" s="242" t="s">
        <v>686</v>
      </c>
      <c r="G96" s="242" t="s">
        <v>35</v>
      </c>
      <c r="H96" s="242">
        <v>164271.32399999999</v>
      </c>
      <c r="I96" s="242"/>
      <c r="J96" s="242"/>
      <c r="K96" s="242">
        <v>27.899640000000002</v>
      </c>
      <c r="L96" s="242">
        <v>27.899640000000002</v>
      </c>
    </row>
    <row r="97" spans="1:12" hidden="1" x14ac:dyDescent="0.3">
      <c r="A97" s="252">
        <v>2024</v>
      </c>
      <c r="B97" s="242" t="s">
        <v>1085</v>
      </c>
      <c r="C97" s="242"/>
      <c r="D97" s="242" t="s">
        <v>835</v>
      </c>
      <c r="E97" s="242"/>
      <c r="F97" s="242" t="s">
        <v>686</v>
      </c>
      <c r="G97" s="242" t="s">
        <v>1084</v>
      </c>
      <c r="H97" s="242">
        <v>1.62</v>
      </c>
      <c r="I97" s="242"/>
      <c r="J97" s="242"/>
      <c r="K97" s="242">
        <v>1.038E-2</v>
      </c>
      <c r="L97" s="242">
        <v>1.038E-2</v>
      </c>
    </row>
    <row r="98" spans="1:12" x14ac:dyDescent="0.3">
      <c r="A98" s="252">
        <v>2024</v>
      </c>
      <c r="B98" s="242" t="s">
        <v>1078</v>
      </c>
      <c r="C98" s="242"/>
      <c r="D98" s="242" t="s">
        <v>461</v>
      </c>
      <c r="E98" s="242"/>
      <c r="F98" s="242" t="s">
        <v>1079</v>
      </c>
      <c r="G98" s="242" t="s">
        <v>35</v>
      </c>
      <c r="H98" s="253">
        <v>582021.43099999998</v>
      </c>
      <c r="I98" s="242"/>
      <c r="J98" s="242"/>
      <c r="K98" s="242">
        <v>98.849956000000006</v>
      </c>
      <c r="L98" s="242">
        <v>98.849956000000006</v>
      </c>
    </row>
    <row r="99" spans="1:12" x14ac:dyDescent="0.3">
      <c r="A99" s="252">
        <v>2024</v>
      </c>
      <c r="B99" s="242" t="s">
        <v>1080</v>
      </c>
      <c r="C99" s="242"/>
      <c r="D99" s="242" t="s">
        <v>461</v>
      </c>
      <c r="E99" s="242"/>
      <c r="F99" s="242" t="s">
        <v>1081</v>
      </c>
      <c r="G99" s="242" t="s">
        <v>35</v>
      </c>
      <c r="H99" s="242">
        <v>314796.55200000003</v>
      </c>
      <c r="I99" s="242"/>
      <c r="J99" s="242"/>
      <c r="K99" s="242">
        <v>140.24031099999999</v>
      </c>
      <c r="L99" s="242">
        <v>91.326916999999995</v>
      </c>
    </row>
    <row r="100" spans="1:12" x14ac:dyDescent="0.3">
      <c r="A100" s="252">
        <v>2024</v>
      </c>
      <c r="B100" s="242" t="s">
        <v>1082</v>
      </c>
      <c r="C100" s="242"/>
      <c r="D100" s="242" t="s">
        <v>461</v>
      </c>
      <c r="E100" s="242"/>
      <c r="F100" s="242" t="s">
        <v>1081</v>
      </c>
      <c r="G100" s="242" t="s">
        <v>35</v>
      </c>
      <c r="H100" s="242">
        <v>314796.55200000003</v>
      </c>
      <c r="I100" s="242"/>
      <c r="J100" s="242"/>
      <c r="K100" s="242">
        <v>-140.24031099999999</v>
      </c>
      <c r="L100" s="242"/>
    </row>
    <row r="101" spans="1:12" ht="27" hidden="1" x14ac:dyDescent="0.3">
      <c r="A101" s="252">
        <v>2024</v>
      </c>
      <c r="B101" s="242" t="s">
        <v>1087</v>
      </c>
      <c r="C101" s="242"/>
      <c r="D101" s="242" t="s">
        <v>461</v>
      </c>
      <c r="E101" s="242"/>
      <c r="F101" s="242" t="s">
        <v>686</v>
      </c>
      <c r="G101" s="242" t="s">
        <v>35</v>
      </c>
      <c r="H101" s="242">
        <v>393065.5</v>
      </c>
      <c r="I101" s="242"/>
      <c r="J101" s="242"/>
      <c r="K101" s="242">
        <v>175.10874000000001</v>
      </c>
      <c r="L101" s="242">
        <v>114.033844</v>
      </c>
    </row>
    <row r="102" spans="1:12" ht="27" hidden="1" x14ac:dyDescent="0.3">
      <c r="A102" s="252">
        <v>2024</v>
      </c>
      <c r="B102" s="242" t="s">
        <v>1088</v>
      </c>
      <c r="C102" s="242"/>
      <c r="D102" s="242" t="s">
        <v>461</v>
      </c>
      <c r="E102" s="242"/>
      <c r="F102" s="242" t="s">
        <v>686</v>
      </c>
      <c r="G102" s="242" t="s">
        <v>35</v>
      </c>
      <c r="H102" s="242">
        <v>314796.55200000003</v>
      </c>
      <c r="I102" s="242"/>
      <c r="J102" s="242"/>
      <c r="K102" s="242">
        <v>6.5162880000000003</v>
      </c>
      <c r="L102" s="242">
        <v>6.5162880000000003</v>
      </c>
    </row>
    <row r="103" spans="1:12" ht="27" hidden="1" x14ac:dyDescent="0.3">
      <c r="A103" s="252">
        <v>2024</v>
      </c>
      <c r="B103" s="242" t="s">
        <v>1089</v>
      </c>
      <c r="C103" s="242"/>
      <c r="D103" s="242" t="s">
        <v>461</v>
      </c>
      <c r="E103" s="242"/>
      <c r="F103" s="242" t="s">
        <v>686</v>
      </c>
      <c r="G103" s="242" t="s">
        <v>1084</v>
      </c>
      <c r="H103" s="242">
        <v>2.532</v>
      </c>
      <c r="I103" s="242"/>
      <c r="J103" s="242"/>
      <c r="K103" s="242">
        <v>2.2567E-2</v>
      </c>
      <c r="L103" s="242">
        <v>2.2567E-2</v>
      </c>
    </row>
    <row r="104" spans="1:12" ht="27" hidden="1" x14ac:dyDescent="0.3">
      <c r="A104" s="252">
        <v>2024</v>
      </c>
      <c r="B104" s="242" t="s">
        <v>1083</v>
      </c>
      <c r="C104" s="242"/>
      <c r="D104" s="242" t="s">
        <v>461</v>
      </c>
      <c r="E104" s="242"/>
      <c r="F104" s="242" t="s">
        <v>686</v>
      </c>
      <c r="G104" s="242" t="s">
        <v>1084</v>
      </c>
      <c r="H104" s="242">
        <v>4.4619999999999997</v>
      </c>
      <c r="I104" s="242"/>
      <c r="J104" s="242"/>
      <c r="K104" s="242">
        <v>2.8603E-2</v>
      </c>
      <c r="L104" s="242">
        <v>2.8603E-2</v>
      </c>
    </row>
    <row r="105" spans="1:12" hidden="1" x14ac:dyDescent="0.3">
      <c r="A105" s="252">
        <v>2024</v>
      </c>
      <c r="B105" s="242" t="s">
        <v>1085</v>
      </c>
      <c r="C105" s="242"/>
      <c r="D105" s="242" t="s">
        <v>461</v>
      </c>
      <c r="E105" s="242"/>
      <c r="F105" s="242" t="s">
        <v>686</v>
      </c>
      <c r="G105" s="242" t="s">
        <v>1084</v>
      </c>
      <c r="H105" s="242">
        <v>6.9509999999999996</v>
      </c>
      <c r="I105" s="242"/>
      <c r="J105" s="242"/>
      <c r="K105" s="242">
        <v>4.4558E-2</v>
      </c>
      <c r="L105" s="242">
        <v>4.4558E-2</v>
      </c>
    </row>
    <row r="106" spans="1:12" ht="27" hidden="1" x14ac:dyDescent="0.3">
      <c r="A106" s="252">
        <v>2024</v>
      </c>
      <c r="B106" s="242" t="s">
        <v>1086</v>
      </c>
      <c r="C106" s="242"/>
      <c r="D106" s="242" t="s">
        <v>461</v>
      </c>
      <c r="E106" s="242"/>
      <c r="F106" s="242" t="s">
        <v>686</v>
      </c>
      <c r="G106" s="242" t="s">
        <v>35</v>
      </c>
      <c r="H106" s="242">
        <v>393065.5</v>
      </c>
      <c r="I106" s="242"/>
      <c r="J106" s="242"/>
      <c r="K106" s="242">
        <v>-175.10874000000001</v>
      </c>
      <c r="L106" s="242"/>
    </row>
    <row r="107" spans="1:12" hidden="1" x14ac:dyDescent="0.3">
      <c r="A107" s="252">
        <v>2024</v>
      </c>
      <c r="B107" s="242" t="s">
        <v>1090</v>
      </c>
      <c r="C107" s="242"/>
      <c r="D107" s="242" t="s">
        <v>461</v>
      </c>
      <c r="E107" s="242"/>
      <c r="F107" s="242" t="s">
        <v>686</v>
      </c>
      <c r="G107" s="242" t="s">
        <v>35</v>
      </c>
      <c r="H107" s="242">
        <v>314796.55200000003</v>
      </c>
      <c r="I107" s="242"/>
      <c r="J107" s="242"/>
      <c r="K107" s="242">
        <v>14.826917</v>
      </c>
      <c r="L107" s="242">
        <v>14.826917</v>
      </c>
    </row>
    <row r="108" spans="1:12" hidden="1" x14ac:dyDescent="0.3">
      <c r="A108" s="252">
        <v>2024</v>
      </c>
      <c r="B108" s="242" t="s">
        <v>1091</v>
      </c>
      <c r="C108" s="242"/>
      <c r="D108" s="242" t="s">
        <v>461</v>
      </c>
      <c r="E108" s="242"/>
      <c r="F108" s="242" t="s">
        <v>686</v>
      </c>
      <c r="G108" s="242" t="s">
        <v>35</v>
      </c>
      <c r="H108" s="242">
        <v>573926.96</v>
      </c>
      <c r="I108" s="242"/>
      <c r="J108" s="242"/>
      <c r="K108" s="242">
        <v>18.192623000000001</v>
      </c>
      <c r="L108" s="242">
        <v>18.192623000000001</v>
      </c>
    </row>
    <row r="109" spans="1:12" x14ac:dyDescent="0.3">
      <c r="A109" s="252">
        <v>2024</v>
      </c>
      <c r="B109" s="242" t="s">
        <v>1078</v>
      </c>
      <c r="C109" s="242"/>
      <c r="D109" s="242" t="s">
        <v>462</v>
      </c>
      <c r="E109" s="242"/>
      <c r="F109" s="242" t="s">
        <v>1079</v>
      </c>
      <c r="G109" s="242" t="s">
        <v>35</v>
      </c>
      <c r="H109" s="253">
        <v>423531.29800000001</v>
      </c>
      <c r="I109" s="242"/>
      <c r="J109" s="242"/>
      <c r="K109" s="242">
        <v>71.932147999999998</v>
      </c>
      <c r="L109" s="242">
        <v>71.932147999999998</v>
      </c>
    </row>
    <row r="110" spans="1:12" x14ac:dyDescent="0.3">
      <c r="A110" s="252">
        <v>2024</v>
      </c>
      <c r="B110" s="242" t="s">
        <v>1080</v>
      </c>
      <c r="C110" s="242"/>
      <c r="D110" s="242" t="s">
        <v>462</v>
      </c>
      <c r="E110" s="242"/>
      <c r="F110" s="242" t="s">
        <v>1081</v>
      </c>
      <c r="G110" s="242" t="s">
        <v>35</v>
      </c>
      <c r="H110" s="242">
        <v>270686.93900000001</v>
      </c>
      <c r="I110" s="242"/>
      <c r="J110" s="242"/>
      <c r="K110" s="242">
        <v>120.589698</v>
      </c>
      <c r="L110" s="242">
        <v>78.530094000000005</v>
      </c>
    </row>
    <row r="111" spans="1:12" x14ac:dyDescent="0.3">
      <c r="A111" s="252">
        <v>2024</v>
      </c>
      <c r="B111" s="242" t="s">
        <v>1082</v>
      </c>
      <c r="C111" s="242"/>
      <c r="D111" s="242" t="s">
        <v>462</v>
      </c>
      <c r="E111" s="242"/>
      <c r="F111" s="242" t="s">
        <v>1081</v>
      </c>
      <c r="G111" s="242" t="s">
        <v>35</v>
      </c>
      <c r="H111" s="242">
        <v>270686.93900000001</v>
      </c>
      <c r="I111" s="242"/>
      <c r="J111" s="242"/>
      <c r="K111" s="242">
        <v>-120.589698</v>
      </c>
      <c r="L111" s="242"/>
    </row>
    <row r="112" spans="1:12" hidden="1" x14ac:dyDescent="0.3">
      <c r="A112" s="252">
        <v>2024</v>
      </c>
      <c r="B112" s="242" t="s">
        <v>1090</v>
      </c>
      <c r="C112" s="242"/>
      <c r="D112" s="242" t="s">
        <v>462</v>
      </c>
      <c r="E112" s="242"/>
      <c r="F112" s="242" t="s">
        <v>686</v>
      </c>
      <c r="G112" s="242" t="s">
        <v>35</v>
      </c>
      <c r="H112" s="242">
        <v>272486.66899999999</v>
      </c>
      <c r="I112" s="242"/>
      <c r="J112" s="242"/>
      <c r="K112" s="242">
        <v>12.834122000000001</v>
      </c>
      <c r="L112" s="242">
        <v>12.834122000000001</v>
      </c>
    </row>
    <row r="113" spans="1:12" hidden="1" x14ac:dyDescent="0.3">
      <c r="A113" s="252">
        <v>2024</v>
      </c>
      <c r="B113" s="242" t="s">
        <v>1091</v>
      </c>
      <c r="C113" s="242"/>
      <c r="D113" s="242" t="s">
        <v>462</v>
      </c>
      <c r="E113" s="242"/>
      <c r="F113" s="242" t="s">
        <v>686</v>
      </c>
      <c r="G113" s="242" t="s">
        <v>35</v>
      </c>
      <c r="H113" s="253">
        <v>424134.90100000001</v>
      </c>
      <c r="I113" s="242"/>
      <c r="J113" s="242"/>
      <c r="K113" s="242">
        <v>13.44444</v>
      </c>
      <c r="L113" s="242">
        <v>13.44444</v>
      </c>
    </row>
    <row r="114" spans="1:12" ht="27" hidden="1" x14ac:dyDescent="0.3">
      <c r="A114" s="252">
        <v>2024</v>
      </c>
      <c r="B114" s="242" t="s">
        <v>1087</v>
      </c>
      <c r="C114" s="242"/>
      <c r="D114" s="242" t="s">
        <v>462</v>
      </c>
      <c r="E114" s="242"/>
      <c r="F114" s="242" t="s">
        <v>686</v>
      </c>
      <c r="G114" s="242" t="s">
        <v>35</v>
      </c>
      <c r="H114" s="242">
        <v>116741.06</v>
      </c>
      <c r="I114" s="242"/>
      <c r="J114" s="242"/>
      <c r="K114" s="242">
        <v>52.007567000000002</v>
      </c>
      <c r="L114" s="242">
        <v>33.868228999999999</v>
      </c>
    </row>
    <row r="115" spans="1:12" ht="27" hidden="1" x14ac:dyDescent="0.3">
      <c r="A115" s="252">
        <v>2024</v>
      </c>
      <c r="B115" s="242" t="s">
        <v>1088</v>
      </c>
      <c r="C115" s="242"/>
      <c r="D115" s="242" t="s">
        <v>462</v>
      </c>
      <c r="E115" s="242"/>
      <c r="F115" s="242" t="s">
        <v>686</v>
      </c>
      <c r="G115" s="242" t="s">
        <v>35</v>
      </c>
      <c r="H115" s="242">
        <v>272486.66899999999</v>
      </c>
      <c r="I115" s="242"/>
      <c r="J115" s="242"/>
      <c r="K115" s="242">
        <v>5.6404730000000001</v>
      </c>
      <c r="L115" s="242">
        <v>5.6404730000000001</v>
      </c>
    </row>
    <row r="116" spans="1:12" ht="27" hidden="1" x14ac:dyDescent="0.3">
      <c r="A116" s="252">
        <v>2024</v>
      </c>
      <c r="B116" s="252" t="s">
        <v>1089</v>
      </c>
      <c r="C116" s="252"/>
      <c r="D116" s="252" t="s">
        <v>462</v>
      </c>
      <c r="E116" s="252"/>
      <c r="F116" s="252" t="s">
        <v>686</v>
      </c>
      <c r="G116" s="252" t="s">
        <v>1084</v>
      </c>
      <c r="H116" s="252">
        <v>1.3220000000000001</v>
      </c>
      <c r="I116" s="252"/>
      <c r="J116" s="252"/>
      <c r="K116" s="242">
        <v>1.1782000000000001E-2</v>
      </c>
      <c r="L116" s="242">
        <v>1.1782000000000001E-2</v>
      </c>
    </row>
    <row r="117" spans="1:12" ht="27" hidden="1" x14ac:dyDescent="0.3">
      <c r="A117" s="252">
        <v>2024</v>
      </c>
      <c r="B117" s="242" t="s">
        <v>1083</v>
      </c>
      <c r="C117" s="242"/>
      <c r="D117" s="242" t="s">
        <v>462</v>
      </c>
      <c r="E117" s="242"/>
      <c r="F117" s="242" t="s">
        <v>686</v>
      </c>
      <c r="G117" s="242" t="s">
        <v>1084</v>
      </c>
      <c r="H117" s="242">
        <v>12.14</v>
      </c>
      <c r="I117" s="242"/>
      <c r="J117" s="242"/>
      <c r="K117" s="242">
        <v>7.7825000000000005E-2</v>
      </c>
      <c r="L117" s="242">
        <v>7.7825000000000005E-2</v>
      </c>
    </row>
    <row r="118" spans="1:12" hidden="1" x14ac:dyDescent="0.3">
      <c r="A118" s="252">
        <v>2024</v>
      </c>
      <c r="B118" s="242" t="s">
        <v>1085</v>
      </c>
      <c r="C118" s="242"/>
      <c r="D118" s="242" t="s">
        <v>462</v>
      </c>
      <c r="E118" s="242"/>
      <c r="F118" s="242" t="s">
        <v>686</v>
      </c>
      <c r="G118" s="242" t="s">
        <v>1084</v>
      </c>
      <c r="H118" s="242">
        <v>1.7130000000000001</v>
      </c>
      <c r="I118" s="242"/>
      <c r="J118" s="242"/>
      <c r="K118" s="242">
        <v>1.0980999999999999E-2</v>
      </c>
      <c r="L118" s="242">
        <v>1.0980999999999999E-2</v>
      </c>
    </row>
    <row r="119" spans="1:12" ht="27" hidden="1" x14ac:dyDescent="0.3">
      <c r="A119" s="252">
        <v>2024</v>
      </c>
      <c r="B119" s="242" t="s">
        <v>1086</v>
      </c>
      <c r="C119" s="242"/>
      <c r="D119" s="242" t="s">
        <v>462</v>
      </c>
      <c r="E119" s="242"/>
      <c r="F119" s="242" t="s">
        <v>686</v>
      </c>
      <c r="G119" s="242" t="s">
        <v>35</v>
      </c>
      <c r="H119" s="253">
        <v>116741.06</v>
      </c>
      <c r="I119" s="242"/>
      <c r="J119" s="242"/>
      <c r="K119" s="242">
        <v>-52.007567000000002</v>
      </c>
      <c r="L119" s="242"/>
    </row>
    <row r="120" spans="1:12" hidden="1" x14ac:dyDescent="0.3">
      <c r="A120" s="252">
        <v>2024</v>
      </c>
      <c r="B120" s="242" t="s">
        <v>1085</v>
      </c>
      <c r="C120" s="242"/>
      <c r="D120" s="242" t="s">
        <v>1096</v>
      </c>
      <c r="E120" s="242"/>
      <c r="F120" s="242" t="s">
        <v>686</v>
      </c>
      <c r="G120" s="242" t="s">
        <v>1084</v>
      </c>
      <c r="H120" s="242">
        <v>10.38</v>
      </c>
      <c r="I120" s="242"/>
      <c r="J120" s="242"/>
      <c r="K120" s="242">
        <v>6.6540000000000002E-2</v>
      </c>
      <c r="L120" s="242">
        <v>6.6540000000000002E-2</v>
      </c>
    </row>
    <row r="121" spans="1:12" ht="27" hidden="1" x14ac:dyDescent="0.3">
      <c r="A121" s="252">
        <v>2024</v>
      </c>
      <c r="B121" s="242" t="s">
        <v>1092</v>
      </c>
      <c r="C121" s="242"/>
      <c r="D121" s="242" t="s">
        <v>1096</v>
      </c>
      <c r="E121" s="242"/>
      <c r="F121" s="242" t="s">
        <v>686</v>
      </c>
      <c r="G121" s="242" t="s">
        <v>35</v>
      </c>
      <c r="H121" s="253">
        <v>572482</v>
      </c>
      <c r="I121" s="242"/>
      <c r="J121" s="242"/>
      <c r="K121" s="242">
        <v>255.03790900000001</v>
      </c>
      <c r="L121" s="242">
        <v>166.08510000000001</v>
      </c>
    </row>
    <row r="122" spans="1:12" ht="27" hidden="1" x14ac:dyDescent="0.3">
      <c r="A122" s="252">
        <v>2024</v>
      </c>
      <c r="B122" s="242" t="s">
        <v>1093</v>
      </c>
      <c r="C122" s="242"/>
      <c r="D122" s="242" t="s">
        <v>1096</v>
      </c>
      <c r="E122" s="242"/>
      <c r="F122" s="242" t="s">
        <v>686</v>
      </c>
      <c r="G122" s="242" t="s">
        <v>35</v>
      </c>
      <c r="H122" s="242">
        <v>8937</v>
      </c>
      <c r="I122" s="242"/>
      <c r="J122" s="242"/>
      <c r="K122" s="242">
        <v>1.5178499999999999</v>
      </c>
      <c r="L122" s="242">
        <v>1.5178499999999999</v>
      </c>
    </row>
    <row r="123" spans="1:12" x14ac:dyDescent="0.3">
      <c r="A123" s="252">
        <v>2024</v>
      </c>
      <c r="B123" s="242" t="s">
        <v>1078</v>
      </c>
      <c r="C123" s="242"/>
      <c r="D123" s="242" t="s">
        <v>459</v>
      </c>
      <c r="E123" s="242"/>
      <c r="F123" s="242" t="s">
        <v>1079</v>
      </c>
      <c r="G123" s="242" t="s">
        <v>35</v>
      </c>
      <c r="H123" s="242">
        <v>748534.05</v>
      </c>
      <c r="I123" s="242"/>
      <c r="J123" s="242"/>
      <c r="K123" s="242">
        <v>127.130302</v>
      </c>
      <c r="L123" s="242">
        <v>127.130302</v>
      </c>
    </row>
    <row r="124" spans="1:12" x14ac:dyDescent="0.3">
      <c r="A124" s="252">
        <v>2024</v>
      </c>
      <c r="B124" s="242" t="s">
        <v>1082</v>
      </c>
      <c r="C124" s="242"/>
      <c r="D124" s="242" t="s">
        <v>459</v>
      </c>
      <c r="E124" s="242"/>
      <c r="F124" s="242" t="s">
        <v>1081</v>
      </c>
      <c r="G124" s="242" t="s">
        <v>35</v>
      </c>
      <c r="H124" s="242">
        <v>454228.84</v>
      </c>
      <c r="I124" s="242"/>
      <c r="J124" s="242"/>
      <c r="K124" s="242">
        <v>-202.356709</v>
      </c>
      <c r="L124" s="242"/>
    </row>
    <row r="125" spans="1:12" x14ac:dyDescent="0.3">
      <c r="A125" s="252">
        <v>2024</v>
      </c>
      <c r="B125" s="242" t="s">
        <v>1080</v>
      </c>
      <c r="C125" s="242"/>
      <c r="D125" s="242" t="s">
        <v>459</v>
      </c>
      <c r="E125" s="242"/>
      <c r="F125" s="242" t="s">
        <v>1081</v>
      </c>
      <c r="G125" s="242" t="s">
        <v>35</v>
      </c>
      <c r="H125" s="242">
        <v>454228.84</v>
      </c>
      <c r="I125" s="242"/>
      <c r="J125" s="242"/>
      <c r="K125" s="242">
        <v>202.356709</v>
      </c>
      <c r="L125" s="242">
        <v>131.77819099999999</v>
      </c>
    </row>
    <row r="126" spans="1:12" hidden="1" x14ac:dyDescent="0.3">
      <c r="A126" s="252">
        <v>2024</v>
      </c>
      <c r="B126" s="242" t="s">
        <v>1085</v>
      </c>
      <c r="C126" s="242"/>
      <c r="D126" s="242" t="s">
        <v>459</v>
      </c>
      <c r="E126" s="242"/>
      <c r="F126" s="242" t="s">
        <v>686</v>
      </c>
      <c r="G126" s="242" t="s">
        <v>1084</v>
      </c>
      <c r="H126" s="242">
        <v>9.7419999999999991</v>
      </c>
      <c r="I126" s="242"/>
      <c r="J126" s="242"/>
      <c r="K126" s="242">
        <v>6.2452000000000001E-2</v>
      </c>
      <c r="L126" s="242">
        <v>6.2452000000000001E-2</v>
      </c>
    </row>
    <row r="127" spans="1:12" ht="27" hidden="1" x14ac:dyDescent="0.3">
      <c r="A127" s="252">
        <v>2024</v>
      </c>
      <c r="B127" s="242" t="s">
        <v>1086</v>
      </c>
      <c r="C127" s="242"/>
      <c r="D127" s="242" t="s">
        <v>459</v>
      </c>
      <c r="E127" s="242"/>
      <c r="F127" s="242" t="s">
        <v>686</v>
      </c>
      <c r="G127" s="242" t="s">
        <v>35</v>
      </c>
      <c r="H127" s="242">
        <v>321465.65500000003</v>
      </c>
      <c r="I127" s="242"/>
      <c r="J127" s="242"/>
      <c r="K127" s="242">
        <v>-143.211366</v>
      </c>
      <c r="L127" s="242"/>
    </row>
    <row r="128" spans="1:12" hidden="1" x14ac:dyDescent="0.3">
      <c r="A128" s="252">
        <v>2024</v>
      </c>
      <c r="B128" s="242" t="s">
        <v>1090</v>
      </c>
      <c r="C128" s="242"/>
      <c r="D128" s="242" t="s">
        <v>459</v>
      </c>
      <c r="E128" s="242"/>
      <c r="F128" s="242" t="s">
        <v>686</v>
      </c>
      <c r="G128" s="242" t="s">
        <v>35</v>
      </c>
      <c r="H128" s="253">
        <v>392073.04800000001</v>
      </c>
      <c r="I128" s="242"/>
      <c r="J128" s="242"/>
      <c r="K128" s="242">
        <v>18.466640999999999</v>
      </c>
      <c r="L128" s="242">
        <v>18.466640999999999</v>
      </c>
    </row>
    <row r="129" spans="1:12" hidden="1" x14ac:dyDescent="0.3">
      <c r="A129" s="252">
        <v>2024</v>
      </c>
      <c r="B129" s="242" t="s">
        <v>1091</v>
      </c>
      <c r="C129" s="242"/>
      <c r="D129" s="242" t="s">
        <v>459</v>
      </c>
      <c r="E129" s="242"/>
      <c r="F129" s="242" t="s">
        <v>686</v>
      </c>
      <c r="G129" s="242" t="s">
        <v>35</v>
      </c>
      <c r="H129" s="242">
        <v>750711.88500000001</v>
      </c>
      <c r="I129" s="242"/>
      <c r="J129" s="242"/>
      <c r="K129" s="242">
        <v>23.796438999999999</v>
      </c>
      <c r="L129" s="242">
        <v>23.796438999999999</v>
      </c>
    </row>
    <row r="130" spans="1:12" ht="27" hidden="1" x14ac:dyDescent="0.3">
      <c r="A130" s="252">
        <v>2024</v>
      </c>
      <c r="B130" s="242" t="s">
        <v>1087</v>
      </c>
      <c r="C130" s="242"/>
      <c r="D130" s="242" t="s">
        <v>459</v>
      </c>
      <c r="E130" s="242"/>
      <c r="F130" s="242" t="s">
        <v>686</v>
      </c>
      <c r="G130" s="242" t="s">
        <v>35</v>
      </c>
      <c r="H130" s="253">
        <v>737299.06299999997</v>
      </c>
      <c r="I130" s="242"/>
      <c r="J130" s="242"/>
      <c r="K130" s="242">
        <v>328.463097</v>
      </c>
      <c r="L130" s="242">
        <v>213.90085400000001</v>
      </c>
    </row>
    <row r="131" spans="1:12" ht="27" hidden="1" x14ac:dyDescent="0.3">
      <c r="A131" s="252">
        <v>2024</v>
      </c>
      <c r="B131" s="242" t="s">
        <v>1088</v>
      </c>
      <c r="C131" s="242"/>
      <c r="D131" s="242" t="s">
        <v>459</v>
      </c>
      <c r="E131" s="242"/>
      <c r="F131" s="242" t="s">
        <v>686</v>
      </c>
      <c r="G131" s="242" t="s">
        <v>35</v>
      </c>
      <c r="H131" s="253">
        <v>392073.04800000001</v>
      </c>
      <c r="I131" s="242"/>
      <c r="J131" s="242"/>
      <c r="K131" s="242">
        <v>8.1159110000000005</v>
      </c>
      <c r="L131" s="242">
        <v>8.1159110000000005</v>
      </c>
    </row>
    <row r="132" spans="1:12" ht="27" hidden="1" x14ac:dyDescent="0.3">
      <c r="A132" s="252">
        <v>2024</v>
      </c>
      <c r="B132" s="242" t="s">
        <v>1089</v>
      </c>
      <c r="C132" s="242"/>
      <c r="D132" s="242" t="s">
        <v>459</v>
      </c>
      <c r="E132" s="242"/>
      <c r="F132" s="242" t="s">
        <v>686</v>
      </c>
      <c r="G132" s="242" t="s">
        <v>1084</v>
      </c>
      <c r="H132" s="242">
        <v>3.2210000000000001</v>
      </c>
      <c r="I132" s="242"/>
      <c r="J132" s="242"/>
      <c r="K132" s="242">
        <v>2.8707E-2</v>
      </c>
      <c r="L132" s="242">
        <v>2.8707E-2</v>
      </c>
    </row>
    <row r="133" spans="1:12" ht="27" hidden="1" x14ac:dyDescent="0.3">
      <c r="A133" s="252">
        <v>2024</v>
      </c>
      <c r="B133" s="242" t="s">
        <v>1083</v>
      </c>
      <c r="C133" s="242"/>
      <c r="D133" s="242" t="s">
        <v>459</v>
      </c>
      <c r="E133" s="242"/>
      <c r="F133" s="242" t="s">
        <v>686</v>
      </c>
      <c r="G133" s="242" t="s">
        <v>1084</v>
      </c>
      <c r="H133" s="242">
        <v>5.7640000000000002</v>
      </c>
      <c r="I133" s="242"/>
      <c r="J133" s="242"/>
      <c r="K133" s="242">
        <v>3.6950999999999998E-2</v>
      </c>
      <c r="L133" s="242">
        <v>3.6950999999999998E-2</v>
      </c>
    </row>
    <row r="134" spans="1:12" ht="27" hidden="1" x14ac:dyDescent="0.3">
      <c r="A134" s="252">
        <v>2024</v>
      </c>
      <c r="B134" s="242" t="s">
        <v>1092</v>
      </c>
      <c r="C134" s="242"/>
      <c r="D134" s="242" t="s">
        <v>516</v>
      </c>
      <c r="E134" s="242"/>
      <c r="F134" s="242" t="s">
        <v>686</v>
      </c>
      <c r="G134" s="242" t="s">
        <v>35</v>
      </c>
      <c r="H134" s="242">
        <v>504936.48</v>
      </c>
      <c r="I134" s="242"/>
      <c r="J134" s="242"/>
      <c r="K134" s="242">
        <v>224.946708</v>
      </c>
      <c r="L134" s="242">
        <v>146.48919599999999</v>
      </c>
    </row>
    <row r="135" spans="1:12" ht="27" hidden="1" x14ac:dyDescent="0.3">
      <c r="A135" s="252">
        <v>2024</v>
      </c>
      <c r="B135" s="242" t="s">
        <v>1093</v>
      </c>
      <c r="C135" s="242"/>
      <c r="D135" s="242" t="s">
        <v>516</v>
      </c>
      <c r="E135" s="242"/>
      <c r="F135" s="242" t="s">
        <v>686</v>
      </c>
      <c r="G135" s="242" t="s">
        <v>35</v>
      </c>
      <c r="H135" s="253">
        <v>398678.38799999998</v>
      </c>
      <c r="I135" s="242"/>
      <c r="J135" s="242"/>
      <c r="K135" s="242">
        <v>67.711044000000001</v>
      </c>
      <c r="L135" s="242">
        <v>67.711044000000001</v>
      </c>
    </row>
    <row r="136" spans="1:12" ht="27" hidden="1" x14ac:dyDescent="0.3">
      <c r="A136" s="252">
        <v>2024</v>
      </c>
      <c r="B136" s="242" t="s">
        <v>1083</v>
      </c>
      <c r="C136" s="242"/>
      <c r="D136" s="242" t="s">
        <v>836</v>
      </c>
      <c r="E136" s="242"/>
      <c r="F136" s="242" t="s">
        <v>686</v>
      </c>
      <c r="G136" s="242" t="s">
        <v>1084</v>
      </c>
      <c r="H136" s="242">
        <v>1.071</v>
      </c>
      <c r="I136" s="242"/>
      <c r="J136" s="242"/>
      <c r="K136" s="242">
        <v>6.8659999999999997E-3</v>
      </c>
      <c r="L136" s="242">
        <v>6.8659999999999997E-3</v>
      </c>
    </row>
    <row r="137" spans="1:12" hidden="1" x14ac:dyDescent="0.3">
      <c r="A137" s="252">
        <v>2024</v>
      </c>
      <c r="B137" s="242" t="s">
        <v>1085</v>
      </c>
      <c r="C137" s="242"/>
      <c r="D137" s="242" t="s">
        <v>836</v>
      </c>
      <c r="E137" s="242"/>
      <c r="F137" s="242" t="s">
        <v>686</v>
      </c>
      <c r="G137" s="242" t="s">
        <v>1084</v>
      </c>
      <c r="H137" s="242">
        <v>1.603</v>
      </c>
      <c r="I137" s="242"/>
      <c r="J137" s="242"/>
      <c r="K137" s="242">
        <v>1.0274999999999999E-2</v>
      </c>
      <c r="L137" s="242">
        <v>1.0274999999999999E-2</v>
      </c>
    </row>
    <row r="138" spans="1:12" ht="27" hidden="1" x14ac:dyDescent="0.3">
      <c r="A138" s="252">
        <v>2024</v>
      </c>
      <c r="B138" s="242" t="s">
        <v>1087</v>
      </c>
      <c r="C138" s="242"/>
      <c r="D138" s="242" t="s">
        <v>836</v>
      </c>
      <c r="E138" s="242"/>
      <c r="F138" s="242" t="s">
        <v>686</v>
      </c>
      <c r="G138" s="242" t="s">
        <v>35</v>
      </c>
      <c r="H138" s="242">
        <v>20916.995999999999</v>
      </c>
      <c r="I138" s="242"/>
      <c r="J138" s="242"/>
      <c r="K138" s="242">
        <v>9.3184199999999997</v>
      </c>
      <c r="L138" s="242">
        <v>6.0683040000000004</v>
      </c>
    </row>
    <row r="139" spans="1:12" ht="27" hidden="1" x14ac:dyDescent="0.3">
      <c r="A139" s="252">
        <v>2024</v>
      </c>
      <c r="B139" s="242" t="s">
        <v>1092</v>
      </c>
      <c r="C139" s="242"/>
      <c r="D139" s="242" t="s">
        <v>836</v>
      </c>
      <c r="E139" s="242"/>
      <c r="F139" s="242" t="s">
        <v>686</v>
      </c>
      <c r="G139" s="242" t="s">
        <v>35</v>
      </c>
      <c r="H139" s="253">
        <v>31306</v>
      </c>
      <c r="I139" s="242"/>
      <c r="J139" s="242"/>
      <c r="K139" s="242">
        <v>13.946669999999999</v>
      </c>
      <c r="L139" s="242">
        <v>9.0823129999999992</v>
      </c>
    </row>
    <row r="140" spans="1:12" ht="27" hidden="1" x14ac:dyDescent="0.3">
      <c r="A140" s="252">
        <v>2024</v>
      </c>
      <c r="B140" s="242" t="s">
        <v>1089</v>
      </c>
      <c r="C140" s="242"/>
      <c r="D140" s="242" t="s">
        <v>836</v>
      </c>
      <c r="E140" s="242"/>
      <c r="F140" s="242" t="s">
        <v>686</v>
      </c>
      <c r="G140" s="242" t="s">
        <v>1084</v>
      </c>
      <c r="H140" s="242">
        <v>0</v>
      </c>
      <c r="I140" s="242"/>
      <c r="J140" s="242"/>
      <c r="K140" s="242">
        <v>0</v>
      </c>
      <c r="L140" s="242">
        <v>0</v>
      </c>
    </row>
    <row r="141" spans="1:12" ht="27" hidden="1" x14ac:dyDescent="0.3">
      <c r="A141" s="252">
        <v>2024</v>
      </c>
      <c r="B141" s="242" t="s">
        <v>1092</v>
      </c>
      <c r="C141" s="242"/>
      <c r="D141" s="242" t="s">
        <v>1097</v>
      </c>
      <c r="E141" s="242"/>
      <c r="F141" s="242" t="s">
        <v>686</v>
      </c>
      <c r="G141" s="242" t="s">
        <v>35</v>
      </c>
      <c r="H141" s="253">
        <v>1294550</v>
      </c>
      <c r="I141" s="242"/>
      <c r="J141" s="242"/>
      <c r="K141" s="242">
        <v>576.715643</v>
      </c>
      <c r="L141" s="242">
        <v>375.567207</v>
      </c>
    </row>
    <row r="142" spans="1:12" ht="27" hidden="1" x14ac:dyDescent="0.3">
      <c r="A142" s="252">
        <v>2024</v>
      </c>
      <c r="B142" s="242" t="s">
        <v>1093</v>
      </c>
      <c r="C142" s="242"/>
      <c r="D142" s="242" t="s">
        <v>1097</v>
      </c>
      <c r="E142" s="242"/>
      <c r="F142" s="242" t="s">
        <v>686</v>
      </c>
      <c r="G142" s="242" t="s">
        <v>35</v>
      </c>
      <c r="H142" s="242">
        <v>1107323</v>
      </c>
      <c r="I142" s="242"/>
      <c r="J142" s="242"/>
      <c r="K142" s="242">
        <v>188.06636</v>
      </c>
      <c r="L142" s="242">
        <v>188.06636</v>
      </c>
    </row>
    <row r="143" spans="1:12" ht="27" hidden="1" x14ac:dyDescent="0.3">
      <c r="A143" s="252">
        <v>2024</v>
      </c>
      <c r="B143" s="242" t="s">
        <v>1089</v>
      </c>
      <c r="C143" s="242"/>
      <c r="D143" s="242" t="s">
        <v>1097</v>
      </c>
      <c r="E143" s="242"/>
      <c r="F143" s="242" t="s">
        <v>686</v>
      </c>
      <c r="G143" s="242" t="s">
        <v>1084</v>
      </c>
      <c r="H143" s="242">
        <v>6.77</v>
      </c>
      <c r="I143" s="242"/>
      <c r="J143" s="242"/>
      <c r="K143" s="242">
        <v>6.0337000000000002E-2</v>
      </c>
      <c r="L143" s="242">
        <v>6.0337000000000002E-2</v>
      </c>
    </row>
    <row r="144" spans="1:12" ht="27" hidden="1" x14ac:dyDescent="0.3">
      <c r="A144" s="252">
        <v>2024</v>
      </c>
      <c r="B144" s="242" t="s">
        <v>1083</v>
      </c>
      <c r="C144" s="242"/>
      <c r="D144" s="242" t="s">
        <v>1097</v>
      </c>
      <c r="E144" s="242"/>
      <c r="F144" s="242" t="s">
        <v>686</v>
      </c>
      <c r="G144" s="242" t="s">
        <v>1084</v>
      </c>
      <c r="H144" s="242">
        <v>7.2</v>
      </c>
      <c r="I144" s="242"/>
      <c r="J144" s="242"/>
      <c r="K144" s="242">
        <v>4.6156999999999997E-2</v>
      </c>
      <c r="L144" s="242">
        <v>4.6156999999999997E-2</v>
      </c>
    </row>
    <row r="145" spans="1:12" hidden="1" x14ac:dyDescent="0.3">
      <c r="A145" s="252">
        <v>2024</v>
      </c>
      <c r="B145" s="242" t="s">
        <v>1085</v>
      </c>
      <c r="C145" s="242"/>
      <c r="D145" s="242" t="s">
        <v>1097</v>
      </c>
      <c r="E145" s="242"/>
      <c r="F145" s="242" t="s">
        <v>686</v>
      </c>
      <c r="G145" s="242" t="s">
        <v>1084</v>
      </c>
      <c r="H145" s="242">
        <v>7.06</v>
      </c>
      <c r="I145" s="242"/>
      <c r="J145" s="242"/>
      <c r="K145" s="242">
        <v>4.5260000000000002E-2</v>
      </c>
      <c r="L145" s="242">
        <v>4.5260000000000002E-2</v>
      </c>
    </row>
    <row r="146" spans="1:12" ht="27" hidden="1" x14ac:dyDescent="0.3">
      <c r="A146" s="252">
        <v>2024</v>
      </c>
      <c r="B146" s="242" t="s">
        <v>1086</v>
      </c>
      <c r="C146" s="242"/>
      <c r="D146" s="242" t="s">
        <v>1097</v>
      </c>
      <c r="E146" s="242"/>
      <c r="F146" s="242" t="s">
        <v>686</v>
      </c>
      <c r="G146" s="242" t="s">
        <v>35</v>
      </c>
      <c r="H146" s="242">
        <v>1294550</v>
      </c>
      <c r="I146" s="242"/>
      <c r="J146" s="242"/>
      <c r="K146" s="242">
        <v>-576.715643</v>
      </c>
      <c r="L146" s="242"/>
    </row>
    <row r="147" spans="1:12" hidden="1" x14ac:dyDescent="0.3">
      <c r="A147" s="250">
        <v>2024</v>
      </c>
      <c r="B147" s="250" t="s">
        <v>1085</v>
      </c>
      <c r="C147" s="250"/>
      <c r="D147" s="250" t="s">
        <v>839</v>
      </c>
      <c r="E147" s="250"/>
      <c r="F147" s="250" t="s">
        <v>686</v>
      </c>
      <c r="G147" s="250" t="s">
        <v>1084</v>
      </c>
      <c r="H147" s="250">
        <v>0.66</v>
      </c>
      <c r="I147" s="250"/>
      <c r="J147" s="250"/>
      <c r="K147" s="242">
        <v>4.2360000000000002E-3</v>
      </c>
      <c r="L147" s="242">
        <v>4.2360000000000002E-3</v>
      </c>
    </row>
    <row r="148" spans="1:12" ht="27" hidden="1" x14ac:dyDescent="0.3">
      <c r="A148" s="250">
        <v>2024</v>
      </c>
      <c r="B148" s="250" t="s">
        <v>1092</v>
      </c>
      <c r="C148" s="250"/>
      <c r="D148" s="250" t="s">
        <v>839</v>
      </c>
      <c r="E148" s="250"/>
      <c r="F148" s="250" t="s">
        <v>686</v>
      </c>
      <c r="G148" s="250" t="s">
        <v>35</v>
      </c>
      <c r="H148" s="250">
        <v>58171.98</v>
      </c>
      <c r="I148" s="250"/>
      <c r="J148" s="250"/>
      <c r="K148" s="242">
        <v>25.915329</v>
      </c>
      <c r="L148" s="242">
        <v>16.876512000000002</v>
      </c>
    </row>
    <row r="149" spans="1:12" ht="27" hidden="1" x14ac:dyDescent="0.3">
      <c r="A149" s="250">
        <v>2024</v>
      </c>
      <c r="B149" s="250" t="s">
        <v>1093</v>
      </c>
      <c r="C149" s="250"/>
      <c r="D149" s="250" t="s">
        <v>839</v>
      </c>
      <c r="E149" s="250"/>
      <c r="F149" s="250" t="s">
        <v>686</v>
      </c>
      <c r="G149" s="250" t="s">
        <v>35</v>
      </c>
      <c r="H149" s="250">
        <v>90248.97</v>
      </c>
      <c r="I149" s="250"/>
      <c r="J149" s="250"/>
      <c r="K149" s="242">
        <v>15.327776999999999</v>
      </c>
      <c r="L149" s="242">
        <v>15.327776999999999</v>
      </c>
    </row>
    <row r="150" spans="1:12" ht="27" hidden="1" x14ac:dyDescent="0.3">
      <c r="A150" s="250">
        <v>2024</v>
      </c>
      <c r="B150" s="250" t="s">
        <v>1089</v>
      </c>
      <c r="C150" s="250"/>
      <c r="D150" s="250" t="s">
        <v>839</v>
      </c>
      <c r="E150" s="250"/>
      <c r="F150" s="250" t="s">
        <v>686</v>
      </c>
      <c r="G150" s="250" t="s">
        <v>1084</v>
      </c>
      <c r="H150" s="250">
        <v>0.34799999999999998</v>
      </c>
      <c r="I150" s="250"/>
      <c r="J150" s="250"/>
      <c r="K150" s="242">
        <v>3.0959999999999998E-3</v>
      </c>
      <c r="L150" s="242">
        <v>3.0959999999999998E-3</v>
      </c>
    </row>
    <row r="151" spans="1:12" ht="27" hidden="1" x14ac:dyDescent="0.3">
      <c r="A151" s="250">
        <v>2024</v>
      </c>
      <c r="B151" s="250" t="s">
        <v>1083</v>
      </c>
      <c r="C151" s="250"/>
      <c r="D151" s="250" t="s">
        <v>839</v>
      </c>
      <c r="E151" s="250"/>
      <c r="F151" s="250" t="s">
        <v>686</v>
      </c>
      <c r="G151" s="250" t="s">
        <v>1084</v>
      </c>
      <c r="H151" s="250">
        <v>0.91200000000000003</v>
      </c>
      <c r="I151" s="250"/>
      <c r="J151" s="250"/>
      <c r="K151" s="242">
        <v>5.8440000000000002E-3</v>
      </c>
      <c r="L151" s="242">
        <v>5.8440000000000002E-3</v>
      </c>
    </row>
    <row r="152" spans="1:12" ht="27" hidden="1" x14ac:dyDescent="0.3">
      <c r="A152" s="250">
        <v>2024</v>
      </c>
      <c r="B152" s="250" t="s">
        <v>1092</v>
      </c>
      <c r="C152" s="250"/>
      <c r="D152" s="250" t="s">
        <v>514</v>
      </c>
      <c r="E152" s="250"/>
      <c r="F152" s="250" t="s">
        <v>686</v>
      </c>
      <c r="G152" s="250" t="s">
        <v>35</v>
      </c>
      <c r="H152" s="250">
        <v>124670.417</v>
      </c>
      <c r="I152" s="250"/>
      <c r="J152" s="250"/>
      <c r="K152" s="242">
        <v>55.540056999999997</v>
      </c>
      <c r="L152" s="242">
        <v>36.168647999999997</v>
      </c>
    </row>
    <row r="153" spans="1:12" ht="27" hidden="1" x14ac:dyDescent="0.3">
      <c r="A153" s="250">
        <v>2024</v>
      </c>
      <c r="B153" s="250" t="s">
        <v>1093</v>
      </c>
      <c r="C153" s="250"/>
      <c r="D153" s="250" t="s">
        <v>514</v>
      </c>
      <c r="E153" s="250"/>
      <c r="F153" s="250" t="s">
        <v>686</v>
      </c>
      <c r="G153" s="250" t="s">
        <v>35</v>
      </c>
      <c r="H153" s="250">
        <v>69082.536999999997</v>
      </c>
      <c r="I153" s="250"/>
      <c r="J153" s="250"/>
      <c r="K153" s="242">
        <v>11.732901999999999</v>
      </c>
      <c r="L153" s="242">
        <v>11.732901999999999</v>
      </c>
    </row>
    <row r="154" spans="1:12" ht="27" hidden="1" x14ac:dyDescent="0.3">
      <c r="A154" s="250">
        <v>2024</v>
      </c>
      <c r="B154" s="250" t="s">
        <v>1089</v>
      </c>
      <c r="C154" s="250"/>
      <c r="D154" s="250" t="s">
        <v>514</v>
      </c>
      <c r="E154" s="250"/>
      <c r="F154" s="250" t="s">
        <v>686</v>
      </c>
      <c r="G154" s="250" t="s">
        <v>1084</v>
      </c>
      <c r="H154" s="250">
        <v>0.28799999999999998</v>
      </c>
      <c r="I154" s="250"/>
      <c r="J154" s="250"/>
      <c r="K154" s="242">
        <v>2.568E-3</v>
      </c>
      <c r="L154" s="242">
        <v>2.568E-3</v>
      </c>
    </row>
    <row r="155" spans="1:12" ht="27" hidden="1" x14ac:dyDescent="0.3">
      <c r="A155" s="250">
        <v>2024</v>
      </c>
      <c r="B155" s="250" t="s">
        <v>1083</v>
      </c>
      <c r="C155" s="250"/>
      <c r="D155" s="250" t="s">
        <v>514</v>
      </c>
      <c r="E155" s="250"/>
      <c r="F155" s="250" t="s">
        <v>686</v>
      </c>
      <c r="G155" s="250" t="s">
        <v>1084</v>
      </c>
      <c r="H155" s="250">
        <v>0.75600000000000001</v>
      </c>
      <c r="I155" s="250"/>
      <c r="J155" s="250"/>
      <c r="K155" s="242">
        <v>4.8479999999999999E-3</v>
      </c>
      <c r="L155" s="242">
        <v>4.8479999999999999E-3</v>
      </c>
    </row>
    <row r="156" spans="1:12" hidden="1" x14ac:dyDescent="0.3">
      <c r="A156" s="250">
        <v>2024</v>
      </c>
      <c r="B156" s="250" t="s">
        <v>1085</v>
      </c>
      <c r="C156" s="250"/>
      <c r="D156" s="250" t="s">
        <v>514</v>
      </c>
      <c r="E156" s="250"/>
      <c r="F156" s="250" t="s">
        <v>686</v>
      </c>
      <c r="G156" s="250" t="s">
        <v>1084</v>
      </c>
      <c r="H156" s="250">
        <v>0.54</v>
      </c>
      <c r="I156" s="250"/>
      <c r="J156" s="250"/>
      <c r="K156" s="242">
        <v>3.4559999999999999E-3</v>
      </c>
      <c r="L156" s="242">
        <v>3.4559999999999999E-3</v>
      </c>
    </row>
    <row r="157" spans="1:12" x14ac:dyDescent="0.3">
      <c r="A157" s="250">
        <v>2024</v>
      </c>
      <c r="B157" s="250" t="s">
        <v>1080</v>
      </c>
      <c r="C157" s="250"/>
      <c r="D157" s="250" t="s">
        <v>837</v>
      </c>
      <c r="E157" s="250"/>
      <c r="F157" s="250" t="s">
        <v>1081</v>
      </c>
      <c r="G157" s="250" t="s">
        <v>35</v>
      </c>
      <c r="H157" s="250">
        <v>84234</v>
      </c>
      <c r="I157" s="250"/>
      <c r="J157" s="250"/>
      <c r="K157" s="242">
        <v>37.525832000000001</v>
      </c>
      <c r="L157" s="242">
        <v>24.437469</v>
      </c>
    </row>
    <row r="158" spans="1:12" x14ac:dyDescent="0.3">
      <c r="A158" s="250">
        <v>2024</v>
      </c>
      <c r="B158" s="250" t="s">
        <v>1082</v>
      </c>
      <c r="C158" s="250"/>
      <c r="D158" s="250" t="s">
        <v>837</v>
      </c>
      <c r="E158" s="250"/>
      <c r="F158" s="250" t="s">
        <v>1081</v>
      </c>
      <c r="G158" s="250" t="s">
        <v>35</v>
      </c>
      <c r="H158" s="254">
        <v>84234</v>
      </c>
      <c r="I158" s="250"/>
      <c r="J158" s="250"/>
      <c r="K158" s="242">
        <v>-37.525832000000001</v>
      </c>
      <c r="L158" s="242"/>
    </row>
    <row r="159" spans="1:12" ht="27" hidden="1" x14ac:dyDescent="0.3">
      <c r="A159" s="250">
        <v>2024</v>
      </c>
      <c r="B159" s="250" t="s">
        <v>1093</v>
      </c>
      <c r="C159" s="250"/>
      <c r="D159" s="250" t="s">
        <v>837</v>
      </c>
      <c r="E159" s="250"/>
      <c r="F159" s="250" t="s">
        <v>686</v>
      </c>
      <c r="G159" s="250" t="s">
        <v>35</v>
      </c>
      <c r="H159" s="250">
        <v>1307940</v>
      </c>
      <c r="I159" s="250"/>
      <c r="J159" s="250"/>
      <c r="K159" s="242">
        <v>222.13890000000001</v>
      </c>
      <c r="L159" s="242">
        <v>222.13890000000001</v>
      </c>
    </row>
    <row r="160" spans="1:12" ht="27" hidden="1" x14ac:dyDescent="0.3">
      <c r="A160" s="252">
        <v>2024</v>
      </c>
      <c r="B160" s="242" t="s">
        <v>1089</v>
      </c>
      <c r="C160" s="242"/>
      <c r="D160" s="242" t="s">
        <v>837</v>
      </c>
      <c r="E160" s="242"/>
      <c r="F160" s="242" t="s">
        <v>686</v>
      </c>
      <c r="G160" s="242" t="s">
        <v>1084</v>
      </c>
      <c r="H160" s="253">
        <v>7.5179999999999998</v>
      </c>
      <c r="I160" s="242"/>
      <c r="J160" s="242"/>
      <c r="K160" s="242">
        <v>6.7002999999999993E-2</v>
      </c>
      <c r="L160" s="242">
        <v>6.7002999999999993E-2</v>
      </c>
    </row>
    <row r="161" spans="1:17" ht="27" hidden="1" x14ac:dyDescent="0.3">
      <c r="A161" s="252">
        <v>2024</v>
      </c>
      <c r="B161" s="242" t="s">
        <v>1083</v>
      </c>
      <c r="C161" s="242"/>
      <c r="D161" s="242" t="s">
        <v>837</v>
      </c>
      <c r="E161" s="242"/>
      <c r="F161" s="242" t="s">
        <v>686</v>
      </c>
      <c r="G161" s="242" t="s">
        <v>1084</v>
      </c>
      <c r="H161" s="242">
        <v>26.527999999999999</v>
      </c>
      <c r="I161" s="242"/>
      <c r="J161" s="242"/>
      <c r="K161" s="242">
        <v>0.17006099999999999</v>
      </c>
      <c r="L161" s="242">
        <v>0.17006099999999999</v>
      </c>
    </row>
    <row r="162" spans="1:17" hidden="1" x14ac:dyDescent="0.3">
      <c r="A162" s="252">
        <v>2024</v>
      </c>
      <c r="B162" s="242" t="s">
        <v>1085</v>
      </c>
      <c r="C162" s="242"/>
      <c r="D162" s="242" t="s">
        <v>837</v>
      </c>
      <c r="E162" s="242"/>
      <c r="F162" s="242" t="s">
        <v>686</v>
      </c>
      <c r="G162" s="242" t="s">
        <v>1084</v>
      </c>
      <c r="H162" s="242">
        <v>61.668999999999997</v>
      </c>
      <c r="I162" s="242"/>
      <c r="J162" s="242"/>
      <c r="K162" s="242">
        <v>0.39533499999999999</v>
      </c>
      <c r="L162" s="242">
        <v>0.39533499999999999</v>
      </c>
    </row>
    <row r="163" spans="1:17" hidden="1" x14ac:dyDescent="0.3">
      <c r="A163" s="252">
        <v>2024</v>
      </c>
      <c r="B163" s="242" t="s">
        <v>1090</v>
      </c>
      <c r="C163" s="242"/>
      <c r="D163" s="242" t="s">
        <v>837</v>
      </c>
      <c r="E163" s="242"/>
      <c r="F163" s="242" t="s">
        <v>686</v>
      </c>
      <c r="G163" s="242" t="s">
        <v>35</v>
      </c>
      <c r="H163" s="253">
        <v>79965</v>
      </c>
      <c r="I163" s="242"/>
      <c r="J163" s="242"/>
      <c r="K163" s="242">
        <v>3.7663530000000001</v>
      </c>
      <c r="L163" s="242">
        <v>3.7663530000000001</v>
      </c>
    </row>
    <row r="164" spans="1:17" ht="27" hidden="1" x14ac:dyDescent="0.3">
      <c r="A164" s="252">
        <v>2024</v>
      </c>
      <c r="B164" s="242" t="s">
        <v>1087</v>
      </c>
      <c r="C164" s="242"/>
      <c r="D164" s="242" t="s">
        <v>837</v>
      </c>
      <c r="E164" s="242"/>
      <c r="F164" s="242" t="s">
        <v>686</v>
      </c>
      <c r="G164" s="242" t="s">
        <v>35</v>
      </c>
      <c r="H164" s="242">
        <v>486081.10800000001</v>
      </c>
      <c r="I164" s="242"/>
      <c r="J164" s="242"/>
      <c r="K164" s="242">
        <v>216.54673199999999</v>
      </c>
      <c r="L164" s="242">
        <v>141.01898399999999</v>
      </c>
    </row>
    <row r="165" spans="1:17" ht="27" hidden="1" x14ac:dyDescent="0.3">
      <c r="A165" s="252">
        <v>2024</v>
      </c>
      <c r="B165" s="242" t="s">
        <v>1088</v>
      </c>
      <c r="C165" s="242"/>
      <c r="D165" s="242" t="s">
        <v>837</v>
      </c>
      <c r="E165" s="242"/>
      <c r="F165" s="242" t="s">
        <v>686</v>
      </c>
      <c r="G165" s="242" t="s">
        <v>35</v>
      </c>
      <c r="H165" s="242">
        <v>79965</v>
      </c>
      <c r="I165" s="242"/>
      <c r="J165" s="242"/>
      <c r="K165" s="242">
        <v>1.6552750000000001</v>
      </c>
      <c r="L165" s="242">
        <v>1.6552750000000001</v>
      </c>
    </row>
    <row r="170" spans="1:17" x14ac:dyDescent="0.3">
      <c r="Q170" s="198">
        <v>2374659.35</v>
      </c>
    </row>
    <row r="171" spans="1:17" x14ac:dyDescent="0.3">
      <c r="J171" s="305" t="s">
        <v>1098</v>
      </c>
      <c r="K171" s="308">
        <f>SUMIF(Table6[Scope], "Scope 1", Table6[Total CO2e Emissions (Secondary) (mtons CO2-e)])</f>
        <v>544.75247899999999</v>
      </c>
      <c r="Q171" s="198">
        <f>Q170/1000</f>
        <v>2374.6593499999999</v>
      </c>
    </row>
    <row r="172" spans="1:17" x14ac:dyDescent="0.3">
      <c r="J172" s="305" t="s">
        <v>1099</v>
      </c>
      <c r="K172" s="308">
        <f>SUMIFS(Table6[Total CO2e Emissions (Secondary) (mtons CO2-e)], Table6[Scope], "Scope 2", Table6[Source], "Electric Power - Shared Services")</f>
        <v>688.92215399999998</v>
      </c>
    </row>
    <row r="173" spans="1:17" x14ac:dyDescent="0.3">
      <c r="J173" s="198" t="s">
        <v>1100</v>
      </c>
      <c r="K173" s="200">
        <f>SUMIFS(Table6[Total CO2e Emissions (Secondary) (mtons CO2-e)], Table6[Scope], "Scope 2", Table6[Source], "Renewable Power - Shared Services")</f>
        <v>0</v>
      </c>
    </row>
    <row r="174" spans="1:17" ht="43.2" x14ac:dyDescent="0.3">
      <c r="J174" s="303" t="s">
        <v>1101</v>
      </c>
      <c r="K174" s="301">
        <f>SUMIFS(Table6[Total CO2e Emissions (Secondary) (mtons CO2-e)], Table6[Scope], "Scope 3", Table6[Source], "Electric Power - Tenant Space (Tenant Control)")</f>
        <v>1352.072936</v>
      </c>
    </row>
    <row r="175" spans="1:17" ht="43.2" x14ac:dyDescent="0.3">
      <c r="J175" s="304" t="s">
        <v>1102</v>
      </c>
      <c r="K175" s="301">
        <f>SUMIFS(Table6[Total CO2e Emissions (Secondary) (mtons CO2-e)], Table6[Scope], "Scope 3", Table6[Source], "Electric Power - Whole Building (Tenant Control)")</f>
        <v>882.55057399999998</v>
      </c>
    </row>
    <row r="176" spans="1:17" ht="28.8" x14ac:dyDescent="0.3">
      <c r="J176" s="304" t="s">
        <v>1103</v>
      </c>
      <c r="K176" s="301">
        <f>SUMIFS(Table6[Total CO2e Emissions (Secondary) (mtons CO2-e)], Table6[Scope], "Scope 3", Table6[Source], "Natural Gas - Whole Building (Tenant Control)")</f>
        <v>640.52624100000014</v>
      </c>
    </row>
    <row r="177" spans="10:11" x14ac:dyDescent="0.3">
      <c r="J177" s="306" t="s">
        <v>1104</v>
      </c>
      <c r="K177" s="307">
        <f>SUM(K174:K176)</f>
        <v>2875.1497509999999</v>
      </c>
    </row>
  </sheetData>
  <mergeCells count="15">
    <mergeCell ref="B10:C10"/>
    <mergeCell ref="D10:E10"/>
    <mergeCell ref="A6:B6"/>
    <mergeCell ref="C6:D6"/>
    <mergeCell ref="A7:B7"/>
    <mergeCell ref="C7:D7"/>
    <mergeCell ref="A8:B8"/>
    <mergeCell ref="C8:D8"/>
    <mergeCell ref="A5:B5"/>
    <mergeCell ref="C5:D5"/>
    <mergeCell ref="A1:B1"/>
    <mergeCell ref="A3:B3"/>
    <mergeCell ref="C3:D3"/>
    <mergeCell ref="A4:B4"/>
    <mergeCell ref="C4:D4"/>
  </mergeCells>
  <pageMargins left="0.1" right="0.1" top="0.1" bottom="0.6" header="0.1" footer="0.1"/>
  <pageSetup orientation="portrait" horizontalDpi="300" verticalDpi="300"/>
  <headerFooter alignWithMargins="0">
    <oddFooter>&amp;C&amp;"Arial,Regular"&amp;10 Page 1 &amp;R&amp;"Arial,Regular"&amp;10 02/04/2025</oddFooter>
  </headerFooter>
  <drawing r:id="rId1"/>
  <legacy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10F71-10AC-4093-9131-9BEECAD0F872}">
  <sheetPr codeName="Sheet20"/>
  <dimension ref="A1:Y51"/>
  <sheetViews>
    <sheetView showGridLines="0" zoomScale="70" zoomScaleNormal="70" workbookViewId="0">
      <pane xSplit="1" topLeftCell="B1" activePane="topRight" state="frozen"/>
      <selection pane="topRight" activeCell="A29" sqref="A29"/>
    </sheetView>
  </sheetViews>
  <sheetFormatPr defaultColWidth="8.88671875" defaultRowHeight="12.75" customHeight="1" x14ac:dyDescent="0.3"/>
  <cols>
    <col min="1" max="1" width="22.21875" style="89" customWidth="1"/>
    <col min="2" max="2" width="5.5546875" style="89" customWidth="1"/>
    <col min="3" max="3" width="9.5546875" style="89" customWidth="1"/>
    <col min="4" max="4" width="17.77734375" style="89" customWidth="1"/>
    <col min="5" max="5" width="9.109375" style="89" customWidth="1"/>
    <col min="6" max="6" width="7.77734375" style="89" customWidth="1"/>
    <col min="7" max="7" width="17.77734375" style="89" customWidth="1"/>
    <col min="8" max="8" width="14.109375" style="89" customWidth="1"/>
    <col min="9" max="9" width="9.21875" style="89" customWidth="1"/>
    <col min="10" max="18" width="7.44140625" style="89" customWidth="1"/>
    <col min="19" max="19" width="15.5546875" style="89" customWidth="1"/>
    <col min="20" max="20" width="8.88671875" style="89"/>
    <col min="21" max="21" width="9.21875" style="89" customWidth="1"/>
    <col min="22" max="255" width="8.88671875" style="89"/>
    <col min="256" max="273" width="17.77734375" style="89" customWidth="1"/>
    <col min="274" max="511" width="8.88671875" style="89"/>
    <col min="512" max="529" width="17.77734375" style="89" customWidth="1"/>
    <col min="530" max="767" width="8.88671875" style="89"/>
    <col min="768" max="785" width="17.77734375" style="89" customWidth="1"/>
    <col min="786" max="1023" width="8.88671875" style="89"/>
    <col min="1024" max="1041" width="17.77734375" style="89" customWidth="1"/>
    <col min="1042" max="1279" width="8.88671875" style="89"/>
    <col min="1280" max="1297" width="17.77734375" style="89" customWidth="1"/>
    <col min="1298" max="1535" width="8.88671875" style="89"/>
    <col min="1536" max="1553" width="17.77734375" style="89" customWidth="1"/>
    <col min="1554" max="1791" width="8.88671875" style="89"/>
    <col min="1792" max="1809" width="17.77734375" style="89" customWidth="1"/>
    <col min="1810" max="2047" width="8.88671875" style="89"/>
    <col min="2048" max="2065" width="17.77734375" style="89" customWidth="1"/>
    <col min="2066" max="2303" width="8.88671875" style="89"/>
    <col min="2304" max="2321" width="17.77734375" style="89" customWidth="1"/>
    <col min="2322" max="2559" width="8.88671875" style="89"/>
    <col min="2560" max="2577" width="17.77734375" style="89" customWidth="1"/>
    <col min="2578" max="2815" width="8.88671875" style="89"/>
    <col min="2816" max="2833" width="17.77734375" style="89" customWidth="1"/>
    <col min="2834" max="3071" width="8.88671875" style="89"/>
    <col min="3072" max="3089" width="17.77734375" style="89" customWidth="1"/>
    <col min="3090" max="3327" width="8.88671875" style="89"/>
    <col min="3328" max="3345" width="17.77734375" style="89" customWidth="1"/>
    <col min="3346" max="3583" width="8.88671875" style="89"/>
    <col min="3584" max="3601" width="17.77734375" style="89" customWidth="1"/>
    <col min="3602" max="3839" width="8.88671875" style="89"/>
    <col min="3840" max="3857" width="17.77734375" style="89" customWidth="1"/>
    <col min="3858" max="4095" width="8.88671875" style="89"/>
    <col min="4096" max="4113" width="17.77734375" style="89" customWidth="1"/>
    <col min="4114" max="4351" width="8.88671875" style="89"/>
    <col min="4352" max="4369" width="17.77734375" style="89" customWidth="1"/>
    <col min="4370" max="4607" width="8.88671875" style="89"/>
    <col min="4608" max="4625" width="17.77734375" style="89" customWidth="1"/>
    <col min="4626" max="4863" width="8.88671875" style="89"/>
    <col min="4864" max="4881" width="17.77734375" style="89" customWidth="1"/>
    <col min="4882" max="5119" width="8.88671875" style="89"/>
    <col min="5120" max="5137" width="17.77734375" style="89" customWidth="1"/>
    <col min="5138" max="5375" width="8.88671875" style="89"/>
    <col min="5376" max="5393" width="17.77734375" style="89" customWidth="1"/>
    <col min="5394" max="5631" width="8.88671875" style="89"/>
    <col min="5632" max="5649" width="17.77734375" style="89" customWidth="1"/>
    <col min="5650" max="5887" width="8.88671875" style="89"/>
    <col min="5888" max="5905" width="17.77734375" style="89" customWidth="1"/>
    <col min="5906" max="6143" width="8.88671875" style="89"/>
    <col min="6144" max="6161" width="17.77734375" style="89" customWidth="1"/>
    <col min="6162" max="6399" width="8.88671875" style="89"/>
    <col min="6400" max="6417" width="17.77734375" style="89" customWidth="1"/>
    <col min="6418" max="6655" width="8.88671875" style="89"/>
    <col min="6656" max="6673" width="17.77734375" style="89" customWidth="1"/>
    <col min="6674" max="6911" width="8.88671875" style="89"/>
    <col min="6912" max="6929" width="17.77734375" style="89" customWidth="1"/>
    <col min="6930" max="7167" width="8.88671875" style="89"/>
    <col min="7168" max="7185" width="17.77734375" style="89" customWidth="1"/>
    <col min="7186" max="7423" width="8.88671875" style="89"/>
    <col min="7424" max="7441" width="17.77734375" style="89" customWidth="1"/>
    <col min="7442" max="7679" width="8.88671875" style="89"/>
    <col min="7680" max="7697" width="17.77734375" style="89" customWidth="1"/>
    <col min="7698" max="7935" width="8.88671875" style="89"/>
    <col min="7936" max="7953" width="17.77734375" style="89" customWidth="1"/>
    <col min="7954" max="8191" width="8.88671875" style="89"/>
    <col min="8192" max="8209" width="17.77734375" style="89" customWidth="1"/>
    <col min="8210" max="8447" width="8.88671875" style="89"/>
    <col min="8448" max="8465" width="17.77734375" style="89" customWidth="1"/>
    <col min="8466" max="8703" width="8.88671875" style="89"/>
    <col min="8704" max="8721" width="17.77734375" style="89" customWidth="1"/>
    <col min="8722" max="8959" width="8.88671875" style="89"/>
    <col min="8960" max="8977" width="17.77734375" style="89" customWidth="1"/>
    <col min="8978" max="9215" width="8.88671875" style="89"/>
    <col min="9216" max="9233" width="17.77734375" style="89" customWidth="1"/>
    <col min="9234" max="9471" width="8.88671875" style="89"/>
    <col min="9472" max="9489" width="17.77734375" style="89" customWidth="1"/>
    <col min="9490" max="9727" width="8.88671875" style="89"/>
    <col min="9728" max="9745" width="17.77734375" style="89" customWidth="1"/>
    <col min="9746" max="9983" width="8.88671875" style="89"/>
    <col min="9984" max="10001" width="17.77734375" style="89" customWidth="1"/>
    <col min="10002" max="10239" width="8.88671875" style="89"/>
    <col min="10240" max="10257" width="17.77734375" style="89" customWidth="1"/>
    <col min="10258" max="10495" width="8.88671875" style="89"/>
    <col min="10496" max="10513" width="17.77734375" style="89" customWidth="1"/>
    <col min="10514" max="10751" width="8.88671875" style="89"/>
    <col min="10752" max="10769" width="17.77734375" style="89" customWidth="1"/>
    <col min="10770" max="11007" width="8.88671875" style="89"/>
    <col min="11008" max="11025" width="17.77734375" style="89" customWidth="1"/>
    <col min="11026" max="11263" width="8.88671875" style="89"/>
    <col min="11264" max="11281" width="17.77734375" style="89" customWidth="1"/>
    <col min="11282" max="11519" width="8.88671875" style="89"/>
    <col min="11520" max="11537" width="17.77734375" style="89" customWidth="1"/>
    <col min="11538" max="11775" width="8.88671875" style="89"/>
    <col min="11776" max="11793" width="17.77734375" style="89" customWidth="1"/>
    <col min="11794" max="12031" width="8.88671875" style="89"/>
    <col min="12032" max="12049" width="17.77734375" style="89" customWidth="1"/>
    <col min="12050" max="12287" width="8.88671875" style="89"/>
    <col min="12288" max="12305" width="17.77734375" style="89" customWidth="1"/>
    <col min="12306" max="12543" width="8.88671875" style="89"/>
    <col min="12544" max="12561" width="17.77734375" style="89" customWidth="1"/>
    <col min="12562" max="12799" width="8.88671875" style="89"/>
    <col min="12800" max="12817" width="17.77734375" style="89" customWidth="1"/>
    <col min="12818" max="13055" width="8.88671875" style="89"/>
    <col min="13056" max="13073" width="17.77734375" style="89" customWidth="1"/>
    <col min="13074" max="13311" width="8.88671875" style="89"/>
    <col min="13312" max="13329" width="17.77734375" style="89" customWidth="1"/>
    <col min="13330" max="13567" width="8.88671875" style="89"/>
    <col min="13568" max="13585" width="17.77734375" style="89" customWidth="1"/>
    <col min="13586" max="13823" width="8.88671875" style="89"/>
    <col min="13824" max="13841" width="17.77734375" style="89" customWidth="1"/>
    <col min="13842" max="14079" width="8.88671875" style="89"/>
    <col min="14080" max="14097" width="17.77734375" style="89" customWidth="1"/>
    <col min="14098" max="14335" width="8.88671875" style="89"/>
    <col min="14336" max="14353" width="17.77734375" style="89" customWidth="1"/>
    <col min="14354" max="14591" width="8.88671875" style="89"/>
    <col min="14592" max="14609" width="17.77734375" style="89" customWidth="1"/>
    <col min="14610" max="14847" width="8.88671875" style="89"/>
    <col min="14848" max="14865" width="17.77734375" style="89" customWidth="1"/>
    <col min="14866" max="15103" width="8.88671875" style="89"/>
    <col min="15104" max="15121" width="17.77734375" style="89" customWidth="1"/>
    <col min="15122" max="15359" width="8.88671875" style="89"/>
    <col min="15360" max="15377" width="17.77734375" style="89" customWidth="1"/>
    <col min="15378" max="15615" width="8.88671875" style="89"/>
    <col min="15616" max="15633" width="17.77734375" style="89" customWidth="1"/>
    <col min="15634" max="15871" width="8.88671875" style="89"/>
    <col min="15872" max="15889" width="17.77734375" style="89" customWidth="1"/>
    <col min="15890" max="16127" width="8.88671875" style="89"/>
    <col min="16128" max="16145" width="17.77734375" style="89" customWidth="1"/>
    <col min="16146" max="16384" width="8.88671875" style="89"/>
  </cols>
  <sheetData>
    <row r="1" spans="1:25" ht="13.8" x14ac:dyDescent="0.3">
      <c r="A1" s="871"/>
      <c r="B1" s="871"/>
      <c r="C1" s="871"/>
      <c r="D1" s="871"/>
      <c r="E1" s="871"/>
      <c r="F1" s="871"/>
      <c r="G1" s="871"/>
      <c r="H1" s="871"/>
      <c r="I1" s="871"/>
      <c r="J1" s="871"/>
      <c r="K1" s="871"/>
      <c r="L1" s="871"/>
      <c r="M1" s="871"/>
      <c r="N1" s="871"/>
      <c r="O1" s="871"/>
      <c r="P1" s="871"/>
      <c r="Q1" s="871"/>
      <c r="R1" s="871"/>
    </row>
    <row r="2" spans="1:25" ht="13.8" x14ac:dyDescent="0.3">
      <c r="A2" s="871"/>
      <c r="B2" s="871"/>
      <c r="C2" s="871"/>
      <c r="D2" s="871"/>
      <c r="E2" s="871"/>
      <c r="F2" s="871"/>
      <c r="G2" s="871"/>
      <c r="H2" s="871"/>
      <c r="I2" s="871"/>
      <c r="J2" s="871"/>
      <c r="K2" s="871"/>
      <c r="L2" s="871"/>
      <c r="M2" s="871"/>
      <c r="N2" s="871"/>
      <c r="O2" s="871"/>
      <c r="P2" s="871"/>
      <c r="Q2" s="871"/>
      <c r="R2" s="871"/>
    </row>
    <row r="3" spans="1:25" ht="13.8" x14ac:dyDescent="0.3">
      <c r="A3" s="871"/>
      <c r="B3" s="871"/>
      <c r="C3" s="871"/>
      <c r="D3" s="871"/>
      <c r="E3" s="871"/>
      <c r="F3" s="871"/>
      <c r="G3" s="871"/>
      <c r="H3" s="871"/>
      <c r="I3" s="871"/>
      <c r="J3" s="871"/>
      <c r="K3" s="871"/>
      <c r="L3" s="871"/>
      <c r="M3" s="871"/>
      <c r="N3" s="871"/>
      <c r="O3" s="871"/>
      <c r="P3" s="871"/>
      <c r="Q3" s="871"/>
      <c r="R3" s="871"/>
    </row>
    <row r="4" spans="1:25" ht="13.8" x14ac:dyDescent="0.3">
      <c r="A4" s="872"/>
      <c r="B4" s="872"/>
      <c r="C4" s="872"/>
      <c r="D4" s="872"/>
      <c r="E4" s="872"/>
      <c r="F4" s="90"/>
      <c r="G4" s="873" t="s">
        <v>1105</v>
      </c>
      <c r="H4" s="873" t="s">
        <v>1105</v>
      </c>
      <c r="I4" s="872"/>
      <c r="J4" s="872"/>
      <c r="K4" s="872"/>
      <c r="L4" s="872"/>
      <c r="M4" s="872"/>
      <c r="N4" s="872"/>
      <c r="O4" s="872"/>
      <c r="P4" s="872"/>
      <c r="Q4" s="872"/>
      <c r="R4" s="872"/>
    </row>
    <row r="5" spans="1:25" ht="13.8" x14ac:dyDescent="0.3">
      <c r="A5" s="872"/>
      <c r="B5" s="872"/>
      <c r="C5" s="872"/>
      <c r="D5" s="872"/>
      <c r="E5" s="872"/>
      <c r="F5" s="91"/>
      <c r="G5" s="873" t="s">
        <v>1106</v>
      </c>
      <c r="H5" s="873" t="s">
        <v>1106</v>
      </c>
      <c r="I5" s="872"/>
      <c r="J5" s="872"/>
      <c r="K5" s="872"/>
      <c r="L5" s="872"/>
      <c r="M5" s="872"/>
      <c r="N5" s="872"/>
      <c r="O5" s="872"/>
      <c r="P5" s="872"/>
      <c r="Q5" s="872"/>
      <c r="R5" s="872"/>
    </row>
    <row r="6" spans="1:25" ht="13.8" x14ac:dyDescent="0.3">
      <c r="A6" s="872"/>
      <c r="B6" s="872"/>
      <c r="C6" s="872"/>
      <c r="D6" s="872"/>
      <c r="E6" s="872"/>
      <c r="F6" s="92"/>
      <c r="G6" s="873" t="s">
        <v>1107</v>
      </c>
      <c r="H6" s="873" t="s">
        <v>1107</v>
      </c>
      <c r="I6" s="872"/>
      <c r="J6" s="872"/>
      <c r="K6" s="872"/>
      <c r="L6" s="872"/>
      <c r="M6" s="872"/>
      <c r="N6" s="872"/>
      <c r="O6" s="872"/>
      <c r="P6" s="872"/>
      <c r="Q6" s="872"/>
      <c r="R6" s="872"/>
    </row>
    <row r="7" spans="1:25" ht="13.8" x14ac:dyDescent="0.3">
      <c r="A7" s="872"/>
      <c r="B7" s="872"/>
      <c r="C7" s="872"/>
      <c r="D7" s="872"/>
      <c r="E7" s="872"/>
      <c r="F7" s="93"/>
      <c r="G7" s="873" t="s">
        <v>1108</v>
      </c>
      <c r="H7" s="873" t="s">
        <v>1108</v>
      </c>
      <c r="I7" s="872"/>
      <c r="J7" s="872"/>
      <c r="K7" s="872"/>
      <c r="L7" s="872"/>
      <c r="M7" s="872"/>
      <c r="N7" s="872"/>
      <c r="O7" s="872"/>
      <c r="P7" s="872"/>
      <c r="Q7" s="872"/>
      <c r="R7" s="872"/>
    </row>
    <row r="8" spans="1:25" ht="13.8" x14ac:dyDescent="0.3">
      <c r="A8" s="872"/>
      <c r="B8" s="872"/>
      <c r="C8" s="872"/>
      <c r="D8" s="872"/>
      <c r="E8" s="872"/>
      <c r="F8" s="94"/>
      <c r="G8" s="873" t="s">
        <v>1109</v>
      </c>
      <c r="H8" s="873" t="s">
        <v>1109</v>
      </c>
      <c r="I8" s="872"/>
      <c r="J8" s="872"/>
      <c r="K8" s="872"/>
      <c r="L8" s="872"/>
      <c r="M8" s="872"/>
      <c r="N8" s="872"/>
      <c r="O8" s="872"/>
      <c r="P8" s="872"/>
      <c r="Q8" s="872"/>
      <c r="R8" s="872"/>
      <c r="Y8" s="89" t="s">
        <v>1110</v>
      </c>
    </row>
    <row r="9" spans="1:25" ht="13.8" x14ac:dyDescent="0.3">
      <c r="A9" s="872"/>
      <c r="B9" s="872"/>
      <c r="C9" s="872"/>
      <c r="D9" s="872"/>
      <c r="E9" s="872"/>
      <c r="F9" s="95"/>
      <c r="G9" s="873" t="s">
        <v>1111</v>
      </c>
      <c r="H9" s="873" t="s">
        <v>1111</v>
      </c>
      <c r="I9" s="872"/>
      <c r="J9" s="872"/>
      <c r="K9" s="872"/>
      <c r="L9" s="872"/>
      <c r="M9" s="872"/>
      <c r="N9" s="872"/>
      <c r="O9" s="872"/>
      <c r="P9" s="872"/>
      <c r="Q9" s="872"/>
      <c r="R9" s="872"/>
    </row>
    <row r="10" spans="1:25" ht="27.6" x14ac:dyDescent="0.3">
      <c r="A10" s="102" t="s">
        <v>1065</v>
      </c>
      <c r="B10" s="102" t="s">
        <v>864</v>
      </c>
      <c r="C10" s="102" t="s">
        <v>1112</v>
      </c>
      <c r="D10" s="102" t="s">
        <v>1070</v>
      </c>
      <c r="E10" s="102" t="s">
        <v>1113</v>
      </c>
      <c r="F10" s="102" t="s">
        <v>1114</v>
      </c>
      <c r="G10" s="255" t="s">
        <v>1115</v>
      </c>
      <c r="H10" s="255" t="s">
        <v>1116</v>
      </c>
      <c r="I10" s="255" t="s">
        <v>1117</v>
      </c>
      <c r="J10" s="255" t="s">
        <v>1118</v>
      </c>
      <c r="K10" s="255" t="s">
        <v>1119</v>
      </c>
      <c r="L10" s="255" t="s">
        <v>1120</v>
      </c>
      <c r="M10" s="255" t="s">
        <v>1121</v>
      </c>
      <c r="N10" s="255" t="s">
        <v>1122</v>
      </c>
      <c r="O10" s="255" t="s">
        <v>1123</v>
      </c>
      <c r="P10" s="255" t="s">
        <v>1124</v>
      </c>
      <c r="Q10" s="255" t="s">
        <v>1125</v>
      </c>
      <c r="R10" s="255" t="s">
        <v>1126</v>
      </c>
      <c r="S10" s="102" t="s">
        <v>1127</v>
      </c>
      <c r="U10" s="102" t="s">
        <v>1128</v>
      </c>
    </row>
    <row r="11" spans="1:25" ht="13.8" x14ac:dyDescent="0.3">
      <c r="A11" s="179" t="s">
        <v>497</v>
      </c>
      <c r="B11" s="96" t="s">
        <v>364</v>
      </c>
      <c r="C11" s="97" t="s">
        <v>865</v>
      </c>
      <c r="D11" s="184" t="s">
        <v>1129</v>
      </c>
      <c r="E11" s="98" t="s">
        <v>1130</v>
      </c>
      <c r="F11" s="96" t="s">
        <v>1131</v>
      </c>
      <c r="G11" s="175">
        <v>211.6</v>
      </c>
      <c r="H11" s="175">
        <v>178.2</v>
      </c>
      <c r="I11" s="175">
        <v>160</v>
      </c>
      <c r="J11" s="175">
        <v>214.7</v>
      </c>
      <c r="K11" s="175">
        <v>237.5</v>
      </c>
      <c r="L11" s="175">
        <v>259.89999999999998</v>
      </c>
      <c r="M11" s="175">
        <v>310.89999999999998</v>
      </c>
      <c r="N11" s="175">
        <v>178.09899999999999</v>
      </c>
      <c r="O11" s="175">
        <v>266.90199999999999</v>
      </c>
      <c r="P11" s="175">
        <v>294.60000000000002</v>
      </c>
      <c r="Q11" s="175">
        <v>348.3</v>
      </c>
      <c r="R11" s="175">
        <v>363.5</v>
      </c>
      <c r="S11" s="100">
        <f>SUM(G11:R11)</f>
        <v>3024.2010000000005</v>
      </c>
      <c r="U11" s="100">
        <v>1671.5989999999999</v>
      </c>
    </row>
    <row r="12" spans="1:25" ht="13.8" x14ac:dyDescent="0.3">
      <c r="A12" s="179" t="s">
        <v>1132</v>
      </c>
      <c r="B12" s="96" t="s">
        <v>364</v>
      </c>
      <c r="C12" s="97" t="s">
        <v>865</v>
      </c>
      <c r="D12" s="180" t="s">
        <v>1133</v>
      </c>
      <c r="E12" s="98" t="s">
        <v>1130</v>
      </c>
      <c r="F12" s="96" t="s">
        <v>1131</v>
      </c>
      <c r="G12" s="121"/>
      <c r="H12" s="121"/>
      <c r="I12" s="121"/>
      <c r="J12" s="121"/>
      <c r="K12" s="121"/>
      <c r="L12" s="121"/>
      <c r="M12" s="121"/>
      <c r="N12" s="121"/>
      <c r="O12" s="121"/>
      <c r="P12" s="121"/>
      <c r="Q12" s="121"/>
      <c r="R12" s="121"/>
      <c r="S12" s="129"/>
      <c r="U12" s="100">
        <v>879.40000004599995</v>
      </c>
    </row>
    <row r="13" spans="1:25" ht="27.6" x14ac:dyDescent="0.3">
      <c r="A13" s="179" t="s">
        <v>1134</v>
      </c>
      <c r="B13" s="96" t="s">
        <v>364</v>
      </c>
      <c r="C13" s="97" t="s">
        <v>865</v>
      </c>
      <c r="D13" s="184" t="s">
        <v>54</v>
      </c>
      <c r="E13" s="98" t="s">
        <v>1130</v>
      </c>
      <c r="F13" s="96" t="s">
        <v>1131</v>
      </c>
      <c r="G13" s="319">
        <f>G11*0.051</f>
        <v>10.791599999999999</v>
      </c>
      <c r="H13" s="319">
        <f t="shared" ref="H13:R13" si="0">H11*0.051</f>
        <v>9.0881999999999987</v>
      </c>
      <c r="I13" s="319">
        <f t="shared" si="0"/>
        <v>8.16</v>
      </c>
      <c r="J13" s="319">
        <f t="shared" si="0"/>
        <v>10.949699999999998</v>
      </c>
      <c r="K13" s="319">
        <f t="shared" si="0"/>
        <v>12.112499999999999</v>
      </c>
      <c r="L13" s="319">
        <f t="shared" si="0"/>
        <v>13.254899999999997</v>
      </c>
      <c r="M13" s="319">
        <f t="shared" si="0"/>
        <v>15.855899999999998</v>
      </c>
      <c r="N13" s="319">
        <f t="shared" si="0"/>
        <v>9.083048999999999</v>
      </c>
      <c r="O13" s="319">
        <f t="shared" si="0"/>
        <v>13.612001999999999</v>
      </c>
      <c r="P13" s="319">
        <f t="shared" si="0"/>
        <v>15.0246</v>
      </c>
      <c r="Q13" s="319">
        <f t="shared" si="0"/>
        <v>17.763300000000001</v>
      </c>
      <c r="R13" s="319">
        <f t="shared" si="0"/>
        <v>18.538499999999999</v>
      </c>
      <c r="S13" s="245">
        <f t="shared" ref="S13:S21" si="1">SUM(G13:R13)</f>
        <v>154.23425099999997</v>
      </c>
      <c r="T13" s="256" t="s">
        <v>1135</v>
      </c>
      <c r="U13" s="99">
        <v>85.251549000000011</v>
      </c>
      <c r="V13" s="89">
        <f>U11*0.051</f>
        <v>85.251548999999997</v>
      </c>
    </row>
    <row r="14" spans="1:25" ht="13.8" x14ac:dyDescent="0.3">
      <c r="A14" s="179" t="s">
        <v>499</v>
      </c>
      <c r="B14" s="96" t="s">
        <v>364</v>
      </c>
      <c r="C14" s="97" t="s">
        <v>865</v>
      </c>
      <c r="D14" s="180" t="s">
        <v>1129</v>
      </c>
      <c r="E14" s="98" t="s">
        <v>1130</v>
      </c>
      <c r="F14" s="96" t="s">
        <v>1131</v>
      </c>
      <c r="G14" s="176">
        <v>156</v>
      </c>
      <c r="H14" s="176">
        <v>156</v>
      </c>
      <c r="I14" s="176">
        <v>156</v>
      </c>
      <c r="J14" s="176">
        <v>156</v>
      </c>
      <c r="K14" s="176">
        <v>156</v>
      </c>
      <c r="L14" s="176">
        <v>156</v>
      </c>
      <c r="M14" s="176">
        <v>156</v>
      </c>
      <c r="N14" s="176">
        <v>156</v>
      </c>
      <c r="O14" s="176">
        <v>156</v>
      </c>
      <c r="P14" s="176">
        <v>156</v>
      </c>
      <c r="Q14" s="176">
        <v>156</v>
      </c>
      <c r="R14" s="176">
        <v>156</v>
      </c>
      <c r="S14" s="99">
        <f t="shared" si="1"/>
        <v>1872</v>
      </c>
      <c r="U14" s="244">
        <v>337.74</v>
      </c>
    </row>
    <row r="15" spans="1:25" ht="13.8" x14ac:dyDescent="0.3">
      <c r="A15" s="179" t="s">
        <v>840</v>
      </c>
      <c r="B15" s="96" t="s">
        <v>505</v>
      </c>
      <c r="C15" s="97" t="s">
        <v>865</v>
      </c>
      <c r="D15" s="184" t="s">
        <v>1136</v>
      </c>
      <c r="E15" s="98" t="s">
        <v>1130</v>
      </c>
      <c r="F15" s="96" t="s">
        <v>1131</v>
      </c>
      <c r="G15" s="176">
        <v>9.1630000000000003</v>
      </c>
      <c r="H15" s="176">
        <v>9.1630000000000003</v>
      </c>
      <c r="I15" s="176">
        <v>9.1630000000000003</v>
      </c>
      <c r="J15" s="176">
        <v>9.1630000000000003</v>
      </c>
      <c r="K15" s="176">
        <v>9.1630000000000003</v>
      </c>
      <c r="L15" s="176">
        <v>9.1630000000000003</v>
      </c>
      <c r="M15" s="176">
        <v>9.1630000000000003</v>
      </c>
      <c r="N15" s="176">
        <v>9.1630000000000003</v>
      </c>
      <c r="O15" s="176">
        <v>9.1630000000000003</v>
      </c>
      <c r="P15" s="176">
        <v>9.1630000000000003</v>
      </c>
      <c r="Q15" s="176">
        <v>9.1630000000000003</v>
      </c>
      <c r="R15" s="176">
        <v>9.1630000000000003</v>
      </c>
      <c r="S15" s="94">
        <f t="shared" si="1"/>
        <v>109.95599999999997</v>
      </c>
      <c r="U15" s="94">
        <v>19.776</v>
      </c>
    </row>
    <row r="16" spans="1:25" ht="13.8" x14ac:dyDescent="0.3">
      <c r="A16" s="179" t="s">
        <v>1137</v>
      </c>
      <c r="B16" s="96" t="s">
        <v>505</v>
      </c>
      <c r="C16" s="97" t="s">
        <v>871</v>
      </c>
      <c r="D16" s="180" t="s">
        <v>1136</v>
      </c>
      <c r="E16" s="98" t="s">
        <v>1130</v>
      </c>
      <c r="F16" s="96" t="s">
        <v>1131</v>
      </c>
      <c r="G16" s="177"/>
      <c r="H16" s="177"/>
      <c r="I16" s="177"/>
      <c r="J16" s="177"/>
      <c r="K16" s="177"/>
      <c r="L16" s="177"/>
      <c r="M16" s="177"/>
      <c r="N16" s="177"/>
      <c r="O16" s="177"/>
      <c r="P16" s="177"/>
      <c r="Q16" s="177"/>
      <c r="R16" s="177"/>
      <c r="S16" s="94">
        <f t="shared" si="1"/>
        <v>0</v>
      </c>
      <c r="U16" s="100">
        <v>0</v>
      </c>
    </row>
    <row r="17" spans="1:21" ht="13.8" x14ac:dyDescent="0.3">
      <c r="A17" s="179" t="s">
        <v>463</v>
      </c>
      <c r="B17" s="96" t="s">
        <v>364</v>
      </c>
      <c r="C17" s="97" t="s">
        <v>865</v>
      </c>
      <c r="D17" s="184" t="s">
        <v>1129</v>
      </c>
      <c r="E17" s="98" t="s">
        <v>1130</v>
      </c>
      <c r="F17" s="96" t="s">
        <v>1131</v>
      </c>
      <c r="G17" s="175">
        <v>11.345000000000001</v>
      </c>
      <c r="H17" s="175">
        <v>10.247</v>
      </c>
      <c r="I17" s="175">
        <v>11.555</v>
      </c>
      <c r="J17" s="175">
        <v>11.374000000000001</v>
      </c>
      <c r="K17" s="175">
        <v>11.374000000000001</v>
      </c>
      <c r="L17" s="175">
        <v>10.875999999999999</v>
      </c>
      <c r="M17" s="175">
        <v>11.509</v>
      </c>
      <c r="N17" s="175">
        <v>11.509</v>
      </c>
      <c r="O17" s="176">
        <v>10.215999999999999</v>
      </c>
      <c r="P17" s="176">
        <v>10.215999999999999</v>
      </c>
      <c r="Q17" s="176">
        <v>10.215999999999999</v>
      </c>
      <c r="R17" s="176">
        <v>10.215999999999999</v>
      </c>
      <c r="S17" s="100">
        <f t="shared" si="1"/>
        <v>130.65299999999999</v>
      </c>
      <c r="U17" s="100">
        <v>122.59199999999997</v>
      </c>
    </row>
    <row r="18" spans="1:21" ht="13.8" x14ac:dyDescent="0.3">
      <c r="A18" s="179" t="s">
        <v>517</v>
      </c>
      <c r="B18" s="96" t="s">
        <v>505</v>
      </c>
      <c r="C18" s="97" t="s">
        <v>871</v>
      </c>
      <c r="D18" s="180" t="s">
        <v>1136</v>
      </c>
      <c r="E18" s="98" t="s">
        <v>1130</v>
      </c>
      <c r="F18" s="96" t="s">
        <v>1131</v>
      </c>
      <c r="G18" s="176">
        <v>181.06800000000001</v>
      </c>
      <c r="H18" s="176">
        <v>181.06800000000001</v>
      </c>
      <c r="I18" s="176">
        <v>181.06800000000001</v>
      </c>
      <c r="J18" s="176">
        <v>181.06800000000001</v>
      </c>
      <c r="K18" s="176">
        <v>181.06800000000001</v>
      </c>
      <c r="L18" s="176">
        <v>181.06800000000001</v>
      </c>
      <c r="M18" s="176">
        <v>181.06800000000001</v>
      </c>
      <c r="N18" s="176">
        <v>181.06800000000001</v>
      </c>
      <c r="O18" s="176">
        <v>181.06800000000001</v>
      </c>
      <c r="P18" s="176">
        <v>181.06800000000001</v>
      </c>
      <c r="Q18" s="176">
        <v>181.06800000000001</v>
      </c>
      <c r="R18" s="176">
        <v>181.06800000000001</v>
      </c>
      <c r="S18" s="245">
        <f t="shared" si="1"/>
        <v>2172.8160000000003</v>
      </c>
      <c r="T18" s="246"/>
      <c r="U18" s="244">
        <v>2172.8160000000003</v>
      </c>
    </row>
    <row r="19" spans="1:21" ht="13.8" x14ac:dyDescent="0.3">
      <c r="A19" s="179" t="s">
        <v>460</v>
      </c>
      <c r="B19" s="96" t="s">
        <v>364</v>
      </c>
      <c r="C19" s="97" t="s">
        <v>865</v>
      </c>
      <c r="D19" s="184" t="s">
        <v>1129</v>
      </c>
      <c r="E19" s="98" t="s">
        <v>1130</v>
      </c>
      <c r="F19" s="96" t="s">
        <v>1131</v>
      </c>
      <c r="G19" s="175">
        <v>109.45</v>
      </c>
      <c r="H19" s="175">
        <v>106.12</v>
      </c>
      <c r="I19" s="175">
        <v>104.25</v>
      </c>
      <c r="J19" s="175">
        <v>122.56</v>
      </c>
      <c r="K19" s="175">
        <v>104.64</v>
      </c>
      <c r="L19" s="175">
        <v>95.82</v>
      </c>
      <c r="M19" s="175">
        <v>107.52</v>
      </c>
      <c r="N19" s="175">
        <v>87.84</v>
      </c>
      <c r="O19" s="175">
        <v>99.03</v>
      </c>
      <c r="P19" s="175">
        <v>107.35</v>
      </c>
      <c r="Q19" s="175">
        <v>107.17</v>
      </c>
      <c r="R19" s="175">
        <v>94.900000359863</v>
      </c>
      <c r="S19" s="218">
        <f t="shared" si="1"/>
        <v>1246.650000359863</v>
      </c>
      <c r="U19" s="100">
        <v>1130.0800000000002</v>
      </c>
    </row>
    <row r="20" spans="1:21" ht="13.8" x14ac:dyDescent="0.3">
      <c r="A20" s="179" t="s">
        <v>1094</v>
      </c>
      <c r="B20" s="96" t="s">
        <v>364</v>
      </c>
      <c r="C20" s="97" t="s">
        <v>865</v>
      </c>
      <c r="D20" s="180" t="s">
        <v>1129</v>
      </c>
      <c r="E20" s="98" t="s">
        <v>1130</v>
      </c>
      <c r="F20" s="96" t="s">
        <v>1131</v>
      </c>
      <c r="G20" s="175">
        <v>48.637</v>
      </c>
      <c r="H20" s="175">
        <v>47.445</v>
      </c>
      <c r="I20" s="175">
        <v>57.392000000000003</v>
      </c>
      <c r="J20" s="175">
        <v>46.643999999999998</v>
      </c>
      <c r="K20" s="175">
        <v>56.164999999999999</v>
      </c>
      <c r="L20" s="175">
        <v>48.918999999999997</v>
      </c>
      <c r="M20" s="175">
        <v>88.844999999999999</v>
      </c>
      <c r="N20" s="175">
        <v>36.758000000000003</v>
      </c>
      <c r="O20" s="175">
        <v>40.182000000000002</v>
      </c>
      <c r="P20" s="175">
        <v>67.010000000000005</v>
      </c>
      <c r="Q20" s="175">
        <v>71.444999999999993</v>
      </c>
      <c r="R20" s="188">
        <v>57.446560062383902</v>
      </c>
      <c r="S20" s="100">
        <f t="shared" si="1"/>
        <v>666.88856006238393</v>
      </c>
      <c r="U20" s="100">
        <v>1070.6010000000001</v>
      </c>
    </row>
    <row r="21" spans="1:21" ht="13.8" x14ac:dyDescent="0.3">
      <c r="A21" s="179" t="s">
        <v>1095</v>
      </c>
      <c r="B21" s="96" t="s">
        <v>364</v>
      </c>
      <c r="C21" s="97" t="s">
        <v>865</v>
      </c>
      <c r="D21" s="184" t="s">
        <v>1129</v>
      </c>
      <c r="E21" s="98" t="s">
        <v>1130</v>
      </c>
      <c r="F21" s="96" t="s">
        <v>1131</v>
      </c>
      <c r="G21" s="175">
        <v>24.975999999999999</v>
      </c>
      <c r="H21" s="175">
        <v>24.364999999999998</v>
      </c>
      <c r="I21" s="175">
        <v>29.472999999999999</v>
      </c>
      <c r="J21" s="175">
        <v>23.952999999999999</v>
      </c>
      <c r="K21" s="175">
        <v>28.841999999999999</v>
      </c>
      <c r="L21" s="175">
        <v>25.122</v>
      </c>
      <c r="M21" s="175">
        <v>45.624000000000002</v>
      </c>
      <c r="N21" s="175">
        <v>18.876999999999999</v>
      </c>
      <c r="O21" s="175">
        <v>20.634</v>
      </c>
      <c r="P21" s="175">
        <v>34.409998212877198</v>
      </c>
      <c r="Q21" s="175">
        <v>36.689024063119597</v>
      </c>
      <c r="R21" s="175">
        <v>29.500439847554397</v>
      </c>
      <c r="S21" s="100">
        <f t="shared" si="1"/>
        <v>342.46546212355116</v>
      </c>
      <c r="U21" s="100">
        <v>492.56099999999992</v>
      </c>
    </row>
    <row r="22" spans="1:21" ht="27.6" x14ac:dyDescent="0.3">
      <c r="A22" s="179" t="s">
        <v>1138</v>
      </c>
      <c r="B22" s="96" t="s">
        <v>364</v>
      </c>
      <c r="C22" s="97" t="s">
        <v>865</v>
      </c>
      <c r="D22" s="180" t="s">
        <v>1133</v>
      </c>
      <c r="E22" s="98" t="s">
        <v>1130</v>
      </c>
      <c r="F22" s="96" t="s">
        <v>1131</v>
      </c>
      <c r="G22" s="183"/>
      <c r="H22" s="183"/>
      <c r="I22" s="183"/>
      <c r="J22" s="183"/>
      <c r="K22" s="183"/>
      <c r="L22" s="183"/>
      <c r="M22" s="183"/>
      <c r="N22" s="183"/>
      <c r="O22" s="183"/>
      <c r="P22" s="183"/>
      <c r="Q22" s="183"/>
      <c r="R22" s="183"/>
      <c r="S22" s="129"/>
      <c r="U22" s="100">
        <v>0</v>
      </c>
    </row>
    <row r="23" spans="1:21" ht="13.8" x14ac:dyDescent="0.3">
      <c r="A23" s="179" t="s">
        <v>456</v>
      </c>
      <c r="B23" s="96" t="s">
        <v>364</v>
      </c>
      <c r="C23" s="97" t="s">
        <v>871</v>
      </c>
      <c r="D23" s="184" t="s">
        <v>1136</v>
      </c>
      <c r="E23" s="98" t="s">
        <v>1130</v>
      </c>
      <c r="F23" s="96" t="s">
        <v>1131</v>
      </c>
      <c r="G23" s="176">
        <v>999.58299999999997</v>
      </c>
      <c r="H23" s="176">
        <v>999.58299999999997</v>
      </c>
      <c r="I23" s="176">
        <v>999.58299999999997</v>
      </c>
      <c r="J23" s="176">
        <v>999.58299999999997</v>
      </c>
      <c r="K23" s="176">
        <v>999.58299999999997</v>
      </c>
      <c r="L23" s="176">
        <v>999.58299999999997</v>
      </c>
      <c r="M23" s="176">
        <v>999.58299999999997</v>
      </c>
      <c r="N23" s="176">
        <v>999.58299999999997</v>
      </c>
      <c r="O23" s="176">
        <v>999.58299999999997</v>
      </c>
      <c r="P23" s="176">
        <v>999.58299999999997</v>
      </c>
      <c r="Q23" s="176">
        <v>999.58299999999997</v>
      </c>
      <c r="R23" s="176">
        <v>999.58299999999997</v>
      </c>
      <c r="S23" s="100">
        <f t="shared" ref="S23:S27" si="2">SUM(G23:R23)</f>
        <v>11994.996000000001</v>
      </c>
      <c r="U23" s="244">
        <v>11994.996000000001</v>
      </c>
    </row>
    <row r="24" spans="1:21" ht="13.8" x14ac:dyDescent="0.3">
      <c r="A24" s="179" t="s">
        <v>835</v>
      </c>
      <c r="B24" s="96" t="s">
        <v>505</v>
      </c>
      <c r="C24" s="97" t="s">
        <v>865</v>
      </c>
      <c r="D24" s="180" t="s">
        <v>1136</v>
      </c>
      <c r="E24" s="98" t="s">
        <v>1130</v>
      </c>
      <c r="F24" s="96" t="s">
        <v>1131</v>
      </c>
      <c r="G24" s="176">
        <v>41.65</v>
      </c>
      <c r="H24" s="176">
        <v>41.65</v>
      </c>
      <c r="I24" s="176">
        <v>41.65</v>
      </c>
      <c r="J24" s="176">
        <v>41.65</v>
      </c>
      <c r="K24" s="176">
        <v>41.65</v>
      </c>
      <c r="L24" s="176">
        <v>41.65</v>
      </c>
      <c r="M24" s="176">
        <v>41.65</v>
      </c>
      <c r="N24" s="176">
        <v>41.65</v>
      </c>
      <c r="O24" s="176">
        <v>41.65</v>
      </c>
      <c r="P24" s="176">
        <v>41.65</v>
      </c>
      <c r="Q24" s="176">
        <v>41.65</v>
      </c>
      <c r="R24" s="176">
        <v>41.65</v>
      </c>
      <c r="S24" s="100">
        <f t="shared" si="2"/>
        <v>499.7999999999999</v>
      </c>
      <c r="U24" s="94">
        <v>379.66800000000006</v>
      </c>
    </row>
    <row r="25" spans="1:21" ht="13.8" x14ac:dyDescent="0.3">
      <c r="A25" s="179" t="s">
        <v>462</v>
      </c>
      <c r="B25" s="96" t="s">
        <v>364</v>
      </c>
      <c r="C25" s="97" t="s">
        <v>865</v>
      </c>
      <c r="D25" s="184" t="s">
        <v>1129</v>
      </c>
      <c r="E25" s="98" t="s">
        <v>1130</v>
      </c>
      <c r="F25" s="96" t="s">
        <v>1131</v>
      </c>
      <c r="G25" s="175">
        <v>47.99</v>
      </c>
      <c r="H25" s="175">
        <v>136.94</v>
      </c>
      <c r="I25" s="175">
        <v>103.16</v>
      </c>
      <c r="J25" s="175">
        <v>92.01</v>
      </c>
      <c r="K25" s="175">
        <v>93.93</v>
      </c>
      <c r="L25" s="175">
        <v>152.43</v>
      </c>
      <c r="M25" s="175">
        <v>87.05</v>
      </c>
      <c r="N25" s="175">
        <v>195.58</v>
      </c>
      <c r="O25" s="175">
        <v>122.05</v>
      </c>
      <c r="P25" s="175">
        <v>382.49</v>
      </c>
      <c r="Q25" s="175">
        <v>156.97</v>
      </c>
      <c r="R25" s="175">
        <v>121.189999734982</v>
      </c>
      <c r="S25" s="257">
        <f t="shared" si="2"/>
        <v>1691.7899997349821</v>
      </c>
      <c r="U25" s="100">
        <v>1217.77</v>
      </c>
    </row>
    <row r="26" spans="1:21" ht="13.8" x14ac:dyDescent="0.3">
      <c r="A26" s="181" t="s">
        <v>461</v>
      </c>
      <c r="B26" s="258" t="s">
        <v>364</v>
      </c>
      <c r="C26" s="259" t="s">
        <v>865</v>
      </c>
      <c r="D26" s="180" t="s">
        <v>1129</v>
      </c>
      <c r="E26" s="260" t="s">
        <v>1130</v>
      </c>
      <c r="F26" s="258" t="s">
        <v>1131</v>
      </c>
      <c r="G26" s="182">
        <v>101</v>
      </c>
      <c r="H26" s="182">
        <v>113</v>
      </c>
      <c r="I26" s="182">
        <v>121</v>
      </c>
      <c r="J26" s="182">
        <v>112</v>
      </c>
      <c r="K26" s="182">
        <v>110</v>
      </c>
      <c r="L26" s="182">
        <v>97</v>
      </c>
      <c r="M26" s="182">
        <v>128</v>
      </c>
      <c r="N26" s="182">
        <v>130</v>
      </c>
      <c r="O26" s="182">
        <v>130</v>
      </c>
      <c r="P26" s="182">
        <v>129</v>
      </c>
      <c r="Q26" s="182">
        <v>122</v>
      </c>
      <c r="R26" s="182">
        <v>78</v>
      </c>
      <c r="S26" s="257">
        <f t="shared" si="2"/>
        <v>1371</v>
      </c>
      <c r="U26" s="89">
        <v>993</v>
      </c>
    </row>
    <row r="27" spans="1:21" ht="13.8" x14ac:dyDescent="0.3">
      <c r="A27" s="179" t="s">
        <v>459</v>
      </c>
      <c r="B27" s="96" t="s">
        <v>364</v>
      </c>
      <c r="C27" s="97" t="s">
        <v>865</v>
      </c>
      <c r="D27" s="184" t="s">
        <v>1129</v>
      </c>
      <c r="E27" s="98" t="s">
        <v>1130</v>
      </c>
      <c r="F27" s="96" t="s">
        <v>1131</v>
      </c>
      <c r="G27" s="175">
        <v>259</v>
      </c>
      <c r="H27" s="175">
        <v>164</v>
      </c>
      <c r="I27" s="175">
        <v>197</v>
      </c>
      <c r="J27" s="175">
        <v>225</v>
      </c>
      <c r="K27" s="175">
        <v>210</v>
      </c>
      <c r="L27" s="175">
        <v>172</v>
      </c>
      <c r="M27" s="175">
        <v>223</v>
      </c>
      <c r="N27" s="175">
        <v>197</v>
      </c>
      <c r="O27" s="175">
        <v>214</v>
      </c>
      <c r="P27" s="175">
        <v>259</v>
      </c>
      <c r="Q27" s="175">
        <v>485</v>
      </c>
      <c r="R27" s="175">
        <v>259</v>
      </c>
      <c r="S27" s="100">
        <f t="shared" si="2"/>
        <v>2864</v>
      </c>
      <c r="U27" s="100">
        <v>2198</v>
      </c>
    </row>
    <row r="28" spans="1:21" ht="13.8" x14ac:dyDescent="0.3">
      <c r="A28" s="179" t="s">
        <v>516</v>
      </c>
      <c r="B28" s="96" t="s">
        <v>505</v>
      </c>
      <c r="C28" s="97" t="s">
        <v>1139</v>
      </c>
      <c r="D28" s="180" t="s">
        <v>1136</v>
      </c>
      <c r="E28" s="98" t="s">
        <v>1130</v>
      </c>
      <c r="F28" s="96" t="s">
        <v>1131</v>
      </c>
      <c r="G28" s="176">
        <v>65.94</v>
      </c>
      <c r="H28" s="176">
        <v>65.94</v>
      </c>
      <c r="I28" s="176">
        <v>65.94</v>
      </c>
      <c r="J28" s="176">
        <v>65.94</v>
      </c>
      <c r="K28" s="176">
        <v>65.94</v>
      </c>
      <c r="L28" s="176">
        <v>65.94</v>
      </c>
      <c r="M28" s="176">
        <v>65.94</v>
      </c>
      <c r="N28" s="176">
        <v>65.94</v>
      </c>
      <c r="O28" s="176">
        <v>65.94</v>
      </c>
      <c r="P28" s="176">
        <v>65.94</v>
      </c>
      <c r="Q28" s="176">
        <v>65.94</v>
      </c>
      <c r="R28" s="176">
        <v>65.94</v>
      </c>
      <c r="S28" s="89">
        <f>SUM(G28:R28)</f>
        <v>791.2800000000002</v>
      </c>
      <c r="U28" s="94">
        <v>65.50800000000001</v>
      </c>
    </row>
    <row r="29" spans="1:21" ht="13.8" x14ac:dyDescent="0.3">
      <c r="A29" s="179" t="s">
        <v>836</v>
      </c>
      <c r="B29" s="96" t="s">
        <v>505</v>
      </c>
      <c r="C29" s="97" t="s">
        <v>865</v>
      </c>
      <c r="D29" s="184" t="s">
        <v>1136</v>
      </c>
      <c r="E29" s="98" t="s">
        <v>1130</v>
      </c>
      <c r="F29" s="96" t="s">
        <v>1131</v>
      </c>
      <c r="G29" s="175">
        <v>138.30099999999999</v>
      </c>
      <c r="H29" s="175">
        <v>150.69900000000001</v>
      </c>
      <c r="I29" s="175">
        <v>90.801000000000002</v>
      </c>
      <c r="J29" s="175">
        <v>140.80000000000001</v>
      </c>
      <c r="K29" s="175">
        <v>187.3</v>
      </c>
      <c r="L29" s="175">
        <v>197.8</v>
      </c>
      <c r="M29" s="175">
        <v>180.4</v>
      </c>
      <c r="N29" s="176">
        <v>188.5</v>
      </c>
      <c r="O29" s="176">
        <v>189.1</v>
      </c>
      <c r="P29" s="176">
        <v>180.4</v>
      </c>
      <c r="Q29" s="176">
        <v>180.4</v>
      </c>
      <c r="R29" s="176">
        <v>180.4</v>
      </c>
      <c r="S29" s="100">
        <f t="shared" ref="S29:S33" si="3">SUM(G29:R29)</f>
        <v>2004.9010000000003</v>
      </c>
      <c r="U29" s="94">
        <v>2004.9010000000003</v>
      </c>
    </row>
    <row r="30" spans="1:21" ht="13.8" x14ac:dyDescent="0.3">
      <c r="A30" s="179" t="s">
        <v>1097</v>
      </c>
      <c r="B30" s="96" t="s">
        <v>505</v>
      </c>
      <c r="C30" s="97" t="s">
        <v>865</v>
      </c>
      <c r="D30" s="180" t="s">
        <v>1136</v>
      </c>
      <c r="E30" s="98" t="s">
        <v>1130</v>
      </c>
      <c r="F30" s="96" t="s">
        <v>1131</v>
      </c>
      <c r="G30" s="175">
        <v>124</v>
      </c>
      <c r="H30" s="175">
        <v>130</v>
      </c>
      <c r="I30" s="175">
        <v>128</v>
      </c>
      <c r="J30" s="175">
        <v>130</v>
      </c>
      <c r="K30" s="175">
        <v>133</v>
      </c>
      <c r="L30" s="175">
        <v>138</v>
      </c>
      <c r="M30" s="175">
        <v>171</v>
      </c>
      <c r="N30" s="175">
        <v>121</v>
      </c>
      <c r="O30" s="175">
        <v>164</v>
      </c>
      <c r="P30" s="175">
        <v>149</v>
      </c>
      <c r="Q30" s="175">
        <v>123</v>
      </c>
      <c r="R30" s="175">
        <v>144</v>
      </c>
      <c r="S30" s="89">
        <f t="shared" si="3"/>
        <v>1655</v>
      </c>
      <c r="U30" s="100">
        <v>6078.9809999999989</v>
      </c>
    </row>
    <row r="31" spans="1:21" ht="13.8" x14ac:dyDescent="0.3">
      <c r="A31" s="179" t="s">
        <v>839</v>
      </c>
      <c r="B31" s="96" t="s">
        <v>505</v>
      </c>
      <c r="C31" s="97" t="s">
        <v>865</v>
      </c>
      <c r="D31" s="184" t="s">
        <v>1136</v>
      </c>
      <c r="E31" s="98" t="s">
        <v>1130</v>
      </c>
      <c r="F31" s="96" t="s">
        <v>1131</v>
      </c>
      <c r="G31" s="176">
        <v>17.010000000000002</v>
      </c>
      <c r="H31" s="176">
        <v>17.010000000000002</v>
      </c>
      <c r="I31" s="176">
        <v>17.010000000000002</v>
      </c>
      <c r="J31" s="176">
        <v>17.010000000000002</v>
      </c>
      <c r="K31" s="176">
        <v>17.010000000000002</v>
      </c>
      <c r="L31" s="176">
        <v>17.010000000000002</v>
      </c>
      <c r="M31" s="176">
        <v>17.010000000000002</v>
      </c>
      <c r="N31" s="176">
        <v>17.010000000000002</v>
      </c>
      <c r="O31" s="176">
        <v>17.010000000000002</v>
      </c>
      <c r="P31" s="176">
        <v>17.010000000000002</v>
      </c>
      <c r="Q31" s="176">
        <v>17.010000000000002</v>
      </c>
      <c r="R31" s="176">
        <v>17.010000000000002</v>
      </c>
      <c r="S31" s="176">
        <f t="shared" si="3"/>
        <v>204.11999999999998</v>
      </c>
      <c r="U31" s="94">
        <v>44.052</v>
      </c>
    </row>
    <row r="32" spans="1:21" ht="13.8" x14ac:dyDescent="0.3">
      <c r="A32" s="179" t="s">
        <v>514</v>
      </c>
      <c r="B32" s="96" t="s">
        <v>505</v>
      </c>
      <c r="C32" s="97" t="s">
        <v>865</v>
      </c>
      <c r="D32" s="180" t="s">
        <v>1136</v>
      </c>
      <c r="E32" s="98" t="s">
        <v>1130</v>
      </c>
      <c r="F32" s="96" t="s">
        <v>1131</v>
      </c>
      <c r="G32" s="176">
        <v>14.05</v>
      </c>
      <c r="H32" s="176">
        <v>14.05</v>
      </c>
      <c r="I32" s="176">
        <v>14.05</v>
      </c>
      <c r="J32" s="176">
        <v>14.05</v>
      </c>
      <c r="K32" s="176">
        <v>14.05</v>
      </c>
      <c r="L32" s="176">
        <v>14.05</v>
      </c>
      <c r="M32" s="176">
        <v>14.05</v>
      </c>
      <c r="N32" s="176">
        <v>14.05</v>
      </c>
      <c r="O32" s="176">
        <v>14.05</v>
      </c>
      <c r="P32" s="176">
        <v>14.05</v>
      </c>
      <c r="Q32" s="176">
        <v>14.05</v>
      </c>
      <c r="R32" s="176">
        <v>14.05</v>
      </c>
      <c r="S32" s="176">
        <f t="shared" si="3"/>
        <v>168.60000000000002</v>
      </c>
      <c r="U32" s="94">
        <v>30.324000000000009</v>
      </c>
    </row>
    <row r="33" spans="1:21" ht="13.8" x14ac:dyDescent="0.3">
      <c r="A33" s="179" t="s">
        <v>837</v>
      </c>
      <c r="B33" s="96" t="s">
        <v>364</v>
      </c>
      <c r="C33" s="97" t="s">
        <v>871</v>
      </c>
      <c r="D33" s="184" t="s">
        <v>1136</v>
      </c>
      <c r="E33" s="98" t="s">
        <v>1130</v>
      </c>
      <c r="F33" s="96" t="s">
        <v>1131</v>
      </c>
      <c r="G33" s="178">
        <v>2702.7910000000002</v>
      </c>
      <c r="H33" s="178">
        <v>2702.7910000000002</v>
      </c>
      <c r="I33" s="178">
        <v>2702.7910000000002</v>
      </c>
      <c r="J33" s="178">
        <v>2702.7910000000002</v>
      </c>
      <c r="K33" s="178">
        <v>2702.7910000000002</v>
      </c>
      <c r="L33" s="178">
        <v>2702.7910000000002</v>
      </c>
      <c r="M33" s="178">
        <v>2702.7910000000002</v>
      </c>
      <c r="N33" s="178">
        <v>2702.7910000000002</v>
      </c>
      <c r="O33" s="178">
        <v>2702.7910000000002</v>
      </c>
      <c r="P33" s="178">
        <v>2702.7910000000002</v>
      </c>
      <c r="Q33" s="178">
        <v>2702.7910000000002</v>
      </c>
      <c r="R33" s="178">
        <v>2702.7910000000002</v>
      </c>
      <c r="S33" s="94">
        <f t="shared" si="3"/>
        <v>32433.492000000009</v>
      </c>
      <c r="U33" s="244">
        <v>32433.492000000009</v>
      </c>
    </row>
    <row r="37" spans="1:21" ht="14.4" x14ac:dyDescent="0.3">
      <c r="H37" s="248"/>
      <c r="I37" s="248"/>
      <c r="J37" s="248"/>
      <c r="K37" s="248"/>
      <c r="L37" s="248"/>
      <c r="M37" s="248"/>
      <c r="N37" s="248"/>
      <c r="O37" s="248"/>
      <c r="P37" s="248"/>
      <c r="Q37" s="248"/>
      <c r="R37" s="248"/>
      <c r="S37" s="248"/>
      <c r="U37" s="248"/>
    </row>
    <row r="40" spans="1:21" ht="14.4" x14ac:dyDescent="0.3">
      <c r="G40" s="248"/>
    </row>
    <row r="41" spans="1:21" ht="14.4" x14ac:dyDescent="0.3">
      <c r="G41" s="248"/>
    </row>
    <row r="42" spans="1:21" ht="14.4" x14ac:dyDescent="0.3">
      <c r="G42" s="248"/>
    </row>
    <row r="43" spans="1:21" ht="14.4" x14ac:dyDescent="0.3">
      <c r="G43" s="248"/>
    </row>
    <row r="44" spans="1:21" ht="14.4" x14ac:dyDescent="0.3">
      <c r="G44" s="248"/>
    </row>
    <row r="45" spans="1:21" ht="14.4" x14ac:dyDescent="0.3">
      <c r="G45" s="248"/>
    </row>
    <row r="46" spans="1:21" ht="14.4" x14ac:dyDescent="0.3">
      <c r="G46" s="248"/>
    </row>
    <row r="47" spans="1:21" ht="14.4" x14ac:dyDescent="0.3">
      <c r="G47" s="248"/>
    </row>
    <row r="48" spans="1:21" ht="14.4" x14ac:dyDescent="0.3">
      <c r="G48" s="248"/>
    </row>
    <row r="49" spans="7:7" ht="14.4" x14ac:dyDescent="0.3">
      <c r="G49" s="248"/>
    </row>
    <row r="50" spans="7:7" ht="14.4" x14ac:dyDescent="0.3">
      <c r="G50" s="248"/>
    </row>
    <row r="51" spans="7:7" ht="14.4" x14ac:dyDescent="0.3">
      <c r="G51" s="248"/>
    </row>
  </sheetData>
  <mergeCells count="21">
    <mergeCell ref="A9:E9"/>
    <mergeCell ref="G9:H9"/>
    <mergeCell ref="I9:R9"/>
    <mergeCell ref="A7:E7"/>
    <mergeCell ref="G7:H7"/>
    <mergeCell ref="I7:R7"/>
    <mergeCell ref="A8:E8"/>
    <mergeCell ref="G8:H8"/>
    <mergeCell ref="I8:R8"/>
    <mergeCell ref="A5:E5"/>
    <mergeCell ref="G5:H5"/>
    <mergeCell ref="I5:R5"/>
    <mergeCell ref="A6:E6"/>
    <mergeCell ref="G6:H6"/>
    <mergeCell ref="I6:R6"/>
    <mergeCell ref="A1:R1"/>
    <mergeCell ref="A2:R2"/>
    <mergeCell ref="A3:R3"/>
    <mergeCell ref="A4:E4"/>
    <mergeCell ref="G4:H4"/>
    <mergeCell ref="I4:R4"/>
  </mergeCells>
  <phoneticPr fontId="3" type="noConversion"/>
  <pageMargins left="0.7" right="0.7" top="0.75" bottom="0.75" header="0.3" footer="0.3"/>
  <headerFooter alignWithMargins="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564C9-5A8B-4AF5-8170-C9CA1BC98C4A}">
  <sheetPr codeName="Sheet21"/>
  <dimension ref="A1:AB1048576"/>
  <sheetViews>
    <sheetView showGridLines="0" topLeftCell="A3" zoomScale="85" zoomScaleNormal="85" workbookViewId="0">
      <pane xSplit="4" ySplit="8" topLeftCell="R65" activePane="bottomRight" state="frozen"/>
      <selection pane="topRight"/>
      <selection pane="bottomLeft"/>
      <selection pane="bottomRight" activeCell="Y85" sqref="Y85"/>
    </sheetView>
  </sheetViews>
  <sheetFormatPr defaultColWidth="8.88671875" defaultRowHeight="13.8" x14ac:dyDescent="0.3"/>
  <cols>
    <col min="1" max="1" width="22.5546875" style="89" customWidth="1"/>
    <col min="2" max="3" width="17.77734375" style="89" hidden="1" customWidth="1"/>
    <col min="4" max="4" width="38.5546875" style="224" customWidth="1"/>
    <col min="5" max="5" width="17.77734375" style="89" hidden="1" customWidth="1"/>
    <col min="6" max="18" width="17.77734375" style="89" customWidth="1"/>
    <col min="19" max="19" width="15.88671875" style="89" customWidth="1"/>
    <col min="20" max="20" width="8.88671875" style="89"/>
    <col min="21" max="21" width="20" style="89" customWidth="1"/>
    <col min="22" max="22" width="8.88671875" style="89"/>
    <col min="23" max="23" width="15" style="89" customWidth="1"/>
    <col min="24" max="24" width="19" style="89" customWidth="1"/>
    <col min="25" max="25" width="18.44140625" style="89" customWidth="1"/>
    <col min="26" max="26" width="22.5546875" style="89" customWidth="1"/>
    <col min="27" max="254" width="8.88671875" style="89"/>
    <col min="255" max="272" width="17.77734375" style="89" customWidth="1"/>
    <col min="273" max="510" width="8.88671875" style="89"/>
    <col min="511" max="528" width="17.77734375" style="89" customWidth="1"/>
    <col min="529" max="766" width="8.88671875" style="89"/>
    <col min="767" max="784" width="17.77734375" style="89" customWidth="1"/>
    <col min="785" max="1022" width="8.88671875" style="89"/>
    <col min="1023" max="1040" width="17.77734375" style="89" customWidth="1"/>
    <col min="1041" max="1278" width="8.88671875" style="89"/>
    <col min="1279" max="1296" width="17.77734375" style="89" customWidth="1"/>
    <col min="1297" max="1534" width="8.88671875" style="89"/>
    <col min="1535" max="1552" width="17.77734375" style="89" customWidth="1"/>
    <col min="1553" max="1790" width="8.88671875" style="89"/>
    <col min="1791" max="1808" width="17.77734375" style="89" customWidth="1"/>
    <col min="1809" max="2046" width="8.88671875" style="89"/>
    <col min="2047" max="2064" width="17.77734375" style="89" customWidth="1"/>
    <col min="2065" max="2302" width="8.88671875" style="89"/>
    <col min="2303" max="2320" width="17.77734375" style="89" customWidth="1"/>
    <col min="2321" max="2558" width="8.88671875" style="89"/>
    <col min="2559" max="2576" width="17.77734375" style="89" customWidth="1"/>
    <col min="2577" max="2814" width="8.88671875" style="89"/>
    <col min="2815" max="2832" width="17.77734375" style="89" customWidth="1"/>
    <col min="2833" max="3070" width="8.88671875" style="89"/>
    <col min="3071" max="3088" width="17.77734375" style="89" customWidth="1"/>
    <col min="3089" max="3326" width="8.88671875" style="89"/>
    <col min="3327" max="3344" width="17.77734375" style="89" customWidth="1"/>
    <col min="3345" max="3582" width="8.88671875" style="89"/>
    <col min="3583" max="3600" width="17.77734375" style="89" customWidth="1"/>
    <col min="3601" max="3838" width="8.88671875" style="89"/>
    <col min="3839" max="3856" width="17.77734375" style="89" customWidth="1"/>
    <col min="3857" max="4094" width="8.88671875" style="89"/>
    <col min="4095" max="4112" width="17.77734375" style="89" customWidth="1"/>
    <col min="4113" max="4350" width="8.88671875" style="89"/>
    <col min="4351" max="4368" width="17.77734375" style="89" customWidth="1"/>
    <col min="4369" max="4606" width="8.88671875" style="89"/>
    <col min="4607" max="4624" width="17.77734375" style="89" customWidth="1"/>
    <col min="4625" max="4862" width="8.88671875" style="89"/>
    <col min="4863" max="4880" width="17.77734375" style="89" customWidth="1"/>
    <col min="4881" max="5118" width="8.88671875" style="89"/>
    <col min="5119" max="5136" width="17.77734375" style="89" customWidth="1"/>
    <col min="5137" max="5374" width="8.88671875" style="89"/>
    <col min="5375" max="5392" width="17.77734375" style="89" customWidth="1"/>
    <col min="5393" max="5630" width="8.88671875" style="89"/>
    <col min="5631" max="5648" width="17.77734375" style="89" customWidth="1"/>
    <col min="5649" max="5886" width="8.88671875" style="89"/>
    <col min="5887" max="5904" width="17.77734375" style="89" customWidth="1"/>
    <col min="5905" max="6142" width="8.88671875" style="89"/>
    <col min="6143" max="6160" width="17.77734375" style="89" customWidth="1"/>
    <col min="6161" max="6398" width="8.88671875" style="89"/>
    <col min="6399" max="6416" width="17.77734375" style="89" customWidth="1"/>
    <col min="6417" max="6654" width="8.88671875" style="89"/>
    <col min="6655" max="6672" width="17.77734375" style="89" customWidth="1"/>
    <col min="6673" max="6910" width="8.88671875" style="89"/>
    <col min="6911" max="6928" width="17.77734375" style="89" customWidth="1"/>
    <col min="6929" max="7166" width="8.88671875" style="89"/>
    <col min="7167" max="7184" width="17.77734375" style="89" customWidth="1"/>
    <col min="7185" max="7422" width="8.88671875" style="89"/>
    <col min="7423" max="7440" width="17.77734375" style="89" customWidth="1"/>
    <col min="7441" max="7678" width="8.88671875" style="89"/>
    <col min="7679" max="7696" width="17.77734375" style="89" customWidth="1"/>
    <col min="7697" max="7934" width="8.88671875" style="89"/>
    <col min="7935" max="7952" width="17.77734375" style="89" customWidth="1"/>
    <col min="7953" max="8190" width="8.88671875" style="89"/>
    <col min="8191" max="8208" width="17.77734375" style="89" customWidth="1"/>
    <col min="8209" max="8446" width="8.88671875" style="89"/>
    <col min="8447" max="8464" width="17.77734375" style="89" customWidth="1"/>
    <col min="8465" max="8702" width="8.88671875" style="89"/>
    <col min="8703" max="8720" width="17.77734375" style="89" customWidth="1"/>
    <col min="8721" max="8958" width="8.88671875" style="89"/>
    <col min="8959" max="8976" width="17.77734375" style="89" customWidth="1"/>
    <col min="8977" max="9214" width="8.88671875" style="89"/>
    <col min="9215" max="9232" width="17.77734375" style="89" customWidth="1"/>
    <col min="9233" max="9470" width="8.88671875" style="89"/>
    <col min="9471" max="9488" width="17.77734375" style="89" customWidth="1"/>
    <col min="9489" max="9726" width="8.88671875" style="89"/>
    <col min="9727" max="9744" width="17.77734375" style="89" customWidth="1"/>
    <col min="9745" max="9982" width="8.88671875" style="89"/>
    <col min="9983" max="10000" width="17.77734375" style="89" customWidth="1"/>
    <col min="10001" max="10238" width="8.88671875" style="89"/>
    <col min="10239" max="10256" width="17.77734375" style="89" customWidth="1"/>
    <col min="10257" max="10494" width="8.88671875" style="89"/>
    <col min="10495" max="10512" width="17.77734375" style="89" customWidth="1"/>
    <col min="10513" max="10750" width="8.88671875" style="89"/>
    <col min="10751" max="10768" width="17.77734375" style="89" customWidth="1"/>
    <col min="10769" max="11006" width="8.88671875" style="89"/>
    <col min="11007" max="11024" width="17.77734375" style="89" customWidth="1"/>
    <col min="11025" max="11262" width="8.88671875" style="89"/>
    <col min="11263" max="11280" width="17.77734375" style="89" customWidth="1"/>
    <col min="11281" max="11518" width="8.88671875" style="89"/>
    <col min="11519" max="11536" width="17.77734375" style="89" customWidth="1"/>
    <col min="11537" max="11774" width="8.88671875" style="89"/>
    <col min="11775" max="11792" width="17.77734375" style="89" customWidth="1"/>
    <col min="11793" max="12030" width="8.88671875" style="89"/>
    <col min="12031" max="12048" width="17.77734375" style="89" customWidth="1"/>
    <col min="12049" max="12286" width="8.88671875" style="89"/>
    <col min="12287" max="12304" width="17.77734375" style="89" customWidth="1"/>
    <col min="12305" max="12542" width="8.88671875" style="89"/>
    <col min="12543" max="12560" width="17.77734375" style="89" customWidth="1"/>
    <col min="12561" max="12798" width="8.88671875" style="89"/>
    <col min="12799" max="12816" width="17.77734375" style="89" customWidth="1"/>
    <col min="12817" max="13054" width="8.88671875" style="89"/>
    <col min="13055" max="13072" width="17.77734375" style="89" customWidth="1"/>
    <col min="13073" max="13310" width="8.88671875" style="89"/>
    <col min="13311" max="13328" width="17.77734375" style="89" customWidth="1"/>
    <col min="13329" max="13566" width="8.88671875" style="89"/>
    <col min="13567" max="13584" width="17.77734375" style="89" customWidth="1"/>
    <col min="13585" max="13822" width="8.88671875" style="89"/>
    <col min="13823" max="13840" width="17.77734375" style="89" customWidth="1"/>
    <col min="13841" max="14078" width="8.88671875" style="89"/>
    <col min="14079" max="14096" width="17.77734375" style="89" customWidth="1"/>
    <col min="14097" max="14334" width="8.88671875" style="89"/>
    <col min="14335" max="14352" width="17.77734375" style="89" customWidth="1"/>
    <col min="14353" max="14590" width="8.88671875" style="89"/>
    <col min="14591" max="14608" width="17.77734375" style="89" customWidth="1"/>
    <col min="14609" max="14846" width="8.88671875" style="89"/>
    <col min="14847" max="14864" width="17.77734375" style="89" customWidth="1"/>
    <col min="14865" max="15102" width="8.88671875" style="89"/>
    <col min="15103" max="15120" width="17.77734375" style="89" customWidth="1"/>
    <col min="15121" max="15358" width="8.88671875" style="89"/>
    <col min="15359" max="15376" width="17.77734375" style="89" customWidth="1"/>
    <col min="15377" max="15614" width="8.88671875" style="89"/>
    <col min="15615" max="15632" width="17.77734375" style="89" customWidth="1"/>
    <col min="15633" max="15870" width="8.88671875" style="89"/>
    <col min="15871" max="15888" width="17.77734375" style="89" customWidth="1"/>
    <col min="15889" max="16126" width="8.88671875" style="89"/>
    <col min="16127" max="16144" width="17.77734375" style="89" customWidth="1"/>
    <col min="16145" max="16384" width="8.88671875" style="89"/>
  </cols>
  <sheetData>
    <row r="1" spans="1:28" x14ac:dyDescent="0.3">
      <c r="A1" s="871" t="s">
        <v>1140</v>
      </c>
      <c r="B1" s="871" t="s">
        <v>1140</v>
      </c>
      <c r="C1" s="871" t="s">
        <v>1140</v>
      </c>
      <c r="D1" s="871" t="s">
        <v>1140</v>
      </c>
      <c r="E1" s="871" t="s">
        <v>1140</v>
      </c>
      <c r="F1" s="871" t="s">
        <v>1140</v>
      </c>
      <c r="G1" s="871" t="s">
        <v>1140</v>
      </c>
      <c r="H1" s="871" t="s">
        <v>1140</v>
      </c>
      <c r="I1" s="871" t="s">
        <v>1140</v>
      </c>
      <c r="J1" s="871" t="s">
        <v>1140</v>
      </c>
      <c r="K1" s="871" t="s">
        <v>1140</v>
      </c>
      <c r="L1" s="871" t="s">
        <v>1140</v>
      </c>
      <c r="M1" s="871" t="s">
        <v>1140</v>
      </c>
      <c r="N1" s="871" t="s">
        <v>1140</v>
      </c>
      <c r="O1" s="871" t="s">
        <v>1140</v>
      </c>
      <c r="P1" s="871" t="s">
        <v>1140</v>
      </c>
      <c r="Q1" s="871" t="s">
        <v>1140</v>
      </c>
      <c r="R1" s="871" t="s">
        <v>1140</v>
      </c>
    </row>
    <row r="2" spans="1:28" x14ac:dyDescent="0.3">
      <c r="A2" s="871" t="s">
        <v>1063</v>
      </c>
      <c r="B2" s="871" t="s">
        <v>1063</v>
      </c>
      <c r="C2" s="871" t="s">
        <v>1063</v>
      </c>
      <c r="D2" s="871" t="s">
        <v>1063</v>
      </c>
      <c r="E2" s="871" t="s">
        <v>1063</v>
      </c>
      <c r="F2" s="871" t="s">
        <v>1063</v>
      </c>
      <c r="G2" s="871" t="s">
        <v>1063</v>
      </c>
      <c r="H2" s="871" t="s">
        <v>1063</v>
      </c>
      <c r="I2" s="871" t="s">
        <v>1063</v>
      </c>
      <c r="J2" s="871" t="s">
        <v>1063</v>
      </c>
      <c r="K2" s="871" t="s">
        <v>1063</v>
      </c>
      <c r="L2" s="871" t="s">
        <v>1063</v>
      </c>
      <c r="M2" s="871" t="s">
        <v>1063</v>
      </c>
      <c r="N2" s="871" t="s">
        <v>1063</v>
      </c>
      <c r="O2" s="871" t="s">
        <v>1063</v>
      </c>
      <c r="P2" s="871" t="s">
        <v>1063</v>
      </c>
      <c r="Q2" s="871" t="s">
        <v>1063</v>
      </c>
      <c r="R2" s="871" t="s">
        <v>1063</v>
      </c>
    </row>
    <row r="3" spans="1:28" x14ac:dyDescent="0.3">
      <c r="A3" s="871" t="s">
        <v>1141</v>
      </c>
      <c r="B3" s="871" t="s">
        <v>1141</v>
      </c>
      <c r="C3" s="871" t="s">
        <v>1141</v>
      </c>
      <c r="D3" s="871" t="s">
        <v>1141</v>
      </c>
      <c r="E3" s="871" t="s">
        <v>1141</v>
      </c>
      <c r="F3" s="871" t="s">
        <v>1141</v>
      </c>
      <c r="G3" s="871" t="s">
        <v>1141</v>
      </c>
      <c r="H3" s="871" t="s">
        <v>1141</v>
      </c>
      <c r="I3" s="871" t="s">
        <v>1141</v>
      </c>
      <c r="J3" s="871" t="s">
        <v>1141</v>
      </c>
      <c r="K3" s="871" t="s">
        <v>1141</v>
      </c>
      <c r="L3" s="871" t="s">
        <v>1141</v>
      </c>
      <c r="M3" s="871" t="s">
        <v>1141</v>
      </c>
      <c r="N3" s="871" t="s">
        <v>1141</v>
      </c>
      <c r="O3" s="871" t="s">
        <v>1141</v>
      </c>
      <c r="P3" s="871" t="s">
        <v>1141</v>
      </c>
      <c r="Q3" s="871" t="s">
        <v>1141</v>
      </c>
      <c r="R3" s="871" t="s">
        <v>1141</v>
      </c>
    </row>
    <row r="4" spans="1:28" x14ac:dyDescent="0.3">
      <c r="A4" s="872"/>
      <c r="B4" s="872"/>
      <c r="C4" s="872"/>
      <c r="D4" s="872"/>
      <c r="E4" s="872"/>
      <c r="F4" s="90"/>
      <c r="G4" s="873" t="s">
        <v>1105</v>
      </c>
      <c r="H4" s="873" t="s">
        <v>1105</v>
      </c>
      <c r="I4" s="872"/>
      <c r="J4" s="872"/>
      <c r="K4" s="872"/>
      <c r="L4" s="872"/>
      <c r="M4" s="872"/>
      <c r="N4" s="872"/>
      <c r="O4" s="872"/>
      <c r="P4" s="872"/>
      <c r="Q4" s="872"/>
      <c r="R4" s="872"/>
    </row>
    <row r="5" spans="1:28" x14ac:dyDescent="0.3">
      <c r="A5" s="872"/>
      <c r="B5" s="872"/>
      <c r="C5" s="872"/>
      <c r="D5" s="872"/>
      <c r="E5" s="872"/>
      <c r="F5" s="91"/>
      <c r="G5" s="873" t="s">
        <v>1106</v>
      </c>
      <c r="H5" s="873" t="s">
        <v>1106</v>
      </c>
      <c r="I5" s="872"/>
      <c r="J5" s="872"/>
      <c r="K5" s="872"/>
      <c r="L5" s="872"/>
      <c r="M5" s="872"/>
      <c r="N5" s="872"/>
      <c r="O5" s="872"/>
      <c r="P5" s="872"/>
      <c r="Q5" s="872"/>
      <c r="R5" s="872"/>
    </row>
    <row r="6" spans="1:28" x14ac:dyDescent="0.3">
      <c r="A6" s="872"/>
      <c r="B6" s="872"/>
      <c r="C6" s="872"/>
      <c r="D6" s="872"/>
      <c r="E6" s="872"/>
      <c r="F6" s="92"/>
      <c r="G6" s="873" t="s">
        <v>1107</v>
      </c>
      <c r="H6" s="873" t="s">
        <v>1107</v>
      </c>
      <c r="I6" s="872"/>
      <c r="J6" s="872"/>
      <c r="K6" s="872"/>
      <c r="L6" s="872"/>
      <c r="M6" s="872"/>
      <c r="N6" s="872"/>
      <c r="O6" s="872"/>
      <c r="P6" s="872"/>
      <c r="Q6" s="872"/>
      <c r="R6" s="872"/>
    </row>
    <row r="7" spans="1:28" x14ac:dyDescent="0.3">
      <c r="A7" s="872"/>
      <c r="B7" s="872"/>
      <c r="C7" s="872"/>
      <c r="D7" s="872"/>
      <c r="E7" s="872"/>
      <c r="F7" s="93"/>
      <c r="G7" s="873" t="s">
        <v>1108</v>
      </c>
      <c r="H7" s="873" t="s">
        <v>1108</v>
      </c>
      <c r="I7" s="872"/>
      <c r="J7" s="872"/>
      <c r="K7" s="872"/>
      <c r="L7" s="872"/>
      <c r="M7" s="872"/>
      <c r="N7" s="872"/>
      <c r="O7" s="872"/>
      <c r="P7" s="872"/>
      <c r="Q7" s="872"/>
      <c r="R7" s="872"/>
    </row>
    <row r="8" spans="1:28" x14ac:dyDescent="0.3">
      <c r="A8" s="872"/>
      <c r="B8" s="872"/>
      <c r="C8" s="872"/>
      <c r="D8" s="872"/>
      <c r="E8" s="872"/>
      <c r="F8" s="94"/>
      <c r="G8" s="873" t="s">
        <v>1109</v>
      </c>
      <c r="H8" s="873" t="s">
        <v>1109</v>
      </c>
      <c r="I8" s="872"/>
      <c r="J8" s="872"/>
      <c r="K8" s="872"/>
      <c r="L8" s="872"/>
      <c r="M8" s="872"/>
      <c r="N8" s="872"/>
      <c r="O8" s="872"/>
      <c r="P8" s="872"/>
      <c r="Q8" s="872"/>
      <c r="R8" s="872"/>
    </row>
    <row r="9" spans="1:28" x14ac:dyDescent="0.3">
      <c r="A9" s="872"/>
      <c r="B9" s="872"/>
      <c r="C9" s="872"/>
      <c r="D9" s="872"/>
      <c r="E9" s="872"/>
      <c r="F9" s="95"/>
      <c r="G9" s="873" t="s">
        <v>1111</v>
      </c>
      <c r="H9" s="873" t="s">
        <v>1111</v>
      </c>
      <c r="I9" s="872"/>
      <c r="J9" s="872"/>
      <c r="K9" s="872"/>
      <c r="L9" s="872"/>
      <c r="M9" s="872"/>
      <c r="N9" s="872"/>
      <c r="O9" s="872"/>
      <c r="P9" s="872"/>
      <c r="Q9" s="872"/>
      <c r="R9" s="872"/>
    </row>
    <row r="10" spans="1:28" x14ac:dyDescent="0.3">
      <c r="A10" s="102" t="s">
        <v>1065</v>
      </c>
      <c r="B10" s="102" t="s">
        <v>864</v>
      </c>
      <c r="C10" s="102" t="s">
        <v>1112</v>
      </c>
      <c r="D10" s="222" t="s">
        <v>1070</v>
      </c>
      <c r="E10" s="102" t="s">
        <v>1113</v>
      </c>
      <c r="F10" s="102" t="s">
        <v>1114</v>
      </c>
      <c r="G10" s="255" t="s">
        <v>1115</v>
      </c>
      <c r="H10" s="255" t="s">
        <v>1116</v>
      </c>
      <c r="I10" s="255" t="s">
        <v>1117</v>
      </c>
      <c r="J10" s="255" t="s">
        <v>1118</v>
      </c>
      <c r="K10" s="255" t="s">
        <v>1119</v>
      </c>
      <c r="L10" s="255" t="s">
        <v>1120</v>
      </c>
      <c r="M10" s="255" t="s">
        <v>1121</v>
      </c>
      <c r="N10" s="255" t="s">
        <v>1122</v>
      </c>
      <c r="O10" s="255" t="s">
        <v>1123</v>
      </c>
      <c r="P10" s="255" t="s">
        <v>1124</v>
      </c>
      <c r="Q10" s="255" t="s">
        <v>1125</v>
      </c>
      <c r="R10" s="255" t="s">
        <v>1126</v>
      </c>
      <c r="S10" s="102" t="s">
        <v>1127</v>
      </c>
      <c r="T10" s="102" t="s">
        <v>324</v>
      </c>
      <c r="U10" s="102" t="s">
        <v>1128</v>
      </c>
      <c r="V10" s="102" t="s">
        <v>845</v>
      </c>
      <c r="W10" s="102" t="s">
        <v>1142</v>
      </c>
    </row>
    <row r="11" spans="1:28" hidden="1" x14ac:dyDescent="0.3">
      <c r="A11" s="96" t="s">
        <v>497</v>
      </c>
      <c r="B11" s="96" t="s">
        <v>364</v>
      </c>
      <c r="C11" s="97" t="s">
        <v>865</v>
      </c>
      <c r="D11" s="223" t="s">
        <v>1143</v>
      </c>
      <c r="E11" s="98" t="s">
        <v>1130</v>
      </c>
      <c r="F11" s="96" t="s">
        <v>1084</v>
      </c>
      <c r="G11" s="175">
        <v>1.7999999999999999E-2</v>
      </c>
      <c r="H11" s="175">
        <v>0.32800000000000001</v>
      </c>
      <c r="I11" s="175">
        <v>0.25600000000000001</v>
      </c>
      <c r="J11" s="175">
        <v>0.25</v>
      </c>
      <c r="K11" s="175">
        <v>0.49199999999999999</v>
      </c>
      <c r="L11" s="175">
        <v>0.219</v>
      </c>
      <c r="M11" s="175">
        <v>0.24199999999999999</v>
      </c>
      <c r="N11" s="175">
        <v>0.29599999999999999</v>
      </c>
      <c r="O11" s="175">
        <v>0.39600000000000002</v>
      </c>
      <c r="P11" s="175">
        <v>0.316</v>
      </c>
      <c r="Q11" s="175">
        <v>0.51200000000000001</v>
      </c>
      <c r="R11" s="175">
        <v>0.29399999999999998</v>
      </c>
      <c r="S11" s="100">
        <f>SUM(G11:R11)</f>
        <v>3.6189999999999998</v>
      </c>
      <c r="U11" s="89">
        <v>3.4519999999999995</v>
      </c>
      <c r="W11" s="225">
        <f t="shared" ref="W11" si="0">(S11+S12)/(S11+S12+S13)</f>
        <v>0.53660421093297272</v>
      </c>
      <c r="Y11" s="596">
        <v>5.0999999999999997E-2</v>
      </c>
    </row>
    <row r="12" spans="1:28" hidden="1" x14ac:dyDescent="0.3">
      <c r="A12" s="96" t="s">
        <v>497</v>
      </c>
      <c r="B12" s="96" t="s">
        <v>364</v>
      </c>
      <c r="C12" s="97" t="s">
        <v>865</v>
      </c>
      <c r="D12" s="223" t="s">
        <v>1144</v>
      </c>
      <c r="E12" s="98" t="s">
        <v>1130</v>
      </c>
      <c r="F12" s="96" t="s">
        <v>1084</v>
      </c>
      <c r="G12" s="175">
        <v>0.47799999999999998</v>
      </c>
      <c r="H12" s="175">
        <v>1.0669999999999999</v>
      </c>
      <c r="I12" s="175">
        <v>0.78500000000000003</v>
      </c>
      <c r="J12" s="175">
        <v>0.747</v>
      </c>
      <c r="K12" s="175">
        <v>1.1020000000000001</v>
      </c>
      <c r="L12" s="175">
        <v>1.139</v>
      </c>
      <c r="M12" s="175">
        <v>0.878</v>
      </c>
      <c r="N12" s="175">
        <v>1.4450000000000001</v>
      </c>
      <c r="O12" s="175">
        <v>1.1180000000000001</v>
      </c>
      <c r="P12" s="175">
        <v>1.7609999999999999</v>
      </c>
      <c r="Q12" s="175">
        <v>1.573</v>
      </c>
      <c r="R12" s="175">
        <v>0.95599999999999996</v>
      </c>
      <c r="S12" s="100">
        <f t="shared" ref="S12:S46" si="1">SUM(G12:R12)</f>
        <v>13.048999999999999</v>
      </c>
      <c r="U12" s="89">
        <v>9.1859999999999999</v>
      </c>
      <c r="Y12" s="594" t="s">
        <v>1145</v>
      </c>
    </row>
    <row r="13" spans="1:28" ht="28.5" customHeight="1" x14ac:dyDescent="0.3">
      <c r="A13" s="96" t="s">
        <v>497</v>
      </c>
      <c r="B13" s="96" t="s">
        <v>364</v>
      </c>
      <c r="C13" s="97" t="s">
        <v>865</v>
      </c>
      <c r="D13" s="223" t="s">
        <v>1146</v>
      </c>
      <c r="E13" s="98" t="s">
        <v>1130</v>
      </c>
      <c r="F13" s="96" t="s">
        <v>1084</v>
      </c>
      <c r="G13" s="175">
        <v>1.0069999999999999</v>
      </c>
      <c r="H13" s="175">
        <v>1.1120000000000001</v>
      </c>
      <c r="I13" s="175">
        <v>1.1910000000000001</v>
      </c>
      <c r="J13" s="175">
        <v>1.123</v>
      </c>
      <c r="K13" s="175">
        <v>1.573</v>
      </c>
      <c r="L13" s="175">
        <v>1.591</v>
      </c>
      <c r="M13" s="175">
        <v>1.1419999999999999</v>
      </c>
      <c r="N13" s="175">
        <v>1.153</v>
      </c>
      <c r="O13" s="175">
        <v>1.4670000000000001</v>
      </c>
      <c r="P13" s="175">
        <v>1.1879999999999999</v>
      </c>
      <c r="Q13" s="175">
        <v>1.288</v>
      </c>
      <c r="R13" s="175">
        <v>0.55900000000000005</v>
      </c>
      <c r="S13" s="100">
        <f t="shared" si="1"/>
        <v>14.394000000000002</v>
      </c>
      <c r="U13" s="89">
        <v>10.385</v>
      </c>
      <c r="Y13" s="595" t="s">
        <v>1143</v>
      </c>
      <c r="Z13" s="223" t="s">
        <v>1144</v>
      </c>
      <c r="AA13" s="595" t="s">
        <v>1146</v>
      </c>
    </row>
    <row r="14" spans="1:28" hidden="1" x14ac:dyDescent="0.3">
      <c r="A14" s="96" t="s">
        <v>499</v>
      </c>
      <c r="B14" s="96" t="s">
        <v>364</v>
      </c>
      <c r="C14" s="97" t="s">
        <v>865</v>
      </c>
      <c r="D14" s="223" t="s">
        <v>1143</v>
      </c>
      <c r="E14" s="98" t="s">
        <v>1130</v>
      </c>
      <c r="F14" s="96" t="s">
        <v>1084</v>
      </c>
      <c r="G14" s="175">
        <v>0.40899999999999997</v>
      </c>
      <c r="H14" s="175">
        <v>0.25</v>
      </c>
      <c r="I14" s="175">
        <v>0.17399999999999999</v>
      </c>
      <c r="J14" s="175">
        <v>0.186</v>
      </c>
      <c r="K14" s="175">
        <v>0.29599999999999999</v>
      </c>
      <c r="L14" s="175">
        <v>0.13600000000000001</v>
      </c>
      <c r="M14" s="175">
        <v>0.25600000000000001</v>
      </c>
      <c r="N14" s="175">
        <v>0.222</v>
      </c>
      <c r="O14" s="175">
        <v>0.30599999999999999</v>
      </c>
      <c r="P14" s="175">
        <v>0.35799999999999998</v>
      </c>
      <c r="Q14" s="175">
        <v>0.34</v>
      </c>
      <c r="R14" s="175">
        <v>0.16200000000000001</v>
      </c>
      <c r="S14" s="100">
        <f t="shared" si="1"/>
        <v>3.0949999999999998</v>
      </c>
      <c r="U14" s="89">
        <v>1.5259999999999998</v>
      </c>
      <c r="W14" s="225">
        <f>(S15+TblWaste[[#This Row],[2024 Total]])/(TblWaste[[#This Row],[2024 Total]]+S15+S16)</f>
        <v>0.63518975971255331</v>
      </c>
      <c r="Y14" s="89">
        <v>3.6189999999999998</v>
      </c>
      <c r="Z14" s="89">
        <v>13.048999999999999</v>
      </c>
      <c r="AA14" s="89">
        <v>14.394000000000002</v>
      </c>
    </row>
    <row r="15" spans="1:28" hidden="1" x14ac:dyDescent="0.3">
      <c r="A15" s="96" t="s">
        <v>499</v>
      </c>
      <c r="B15" s="96" t="s">
        <v>364</v>
      </c>
      <c r="C15" s="97" t="s">
        <v>865</v>
      </c>
      <c r="D15" s="223" t="s">
        <v>1144</v>
      </c>
      <c r="E15" s="98" t="s">
        <v>1130</v>
      </c>
      <c r="F15" s="96" t="s">
        <v>1084</v>
      </c>
      <c r="G15" s="175">
        <v>0.12</v>
      </c>
      <c r="H15" s="175">
        <v>0.28199999999999997</v>
      </c>
      <c r="I15" s="175">
        <v>0.16300000000000001</v>
      </c>
      <c r="J15" s="175">
        <v>0.20499999999999999</v>
      </c>
      <c r="K15" s="175">
        <v>0.20100000000000001</v>
      </c>
      <c r="L15" s="175">
        <v>0.21</v>
      </c>
      <c r="M15" s="175">
        <v>0.25600000000000001</v>
      </c>
      <c r="N15" s="175">
        <v>0.40699999999999997</v>
      </c>
      <c r="O15" s="175">
        <v>9.5000000000000001E-2</v>
      </c>
      <c r="P15" s="175">
        <v>0.14599999999999999</v>
      </c>
      <c r="Q15" s="175">
        <v>0.312</v>
      </c>
      <c r="R15" s="175">
        <v>0.16500000000000001</v>
      </c>
      <c r="S15" s="100">
        <f t="shared" si="1"/>
        <v>2.5619999999999998</v>
      </c>
      <c r="U15" s="89">
        <v>2.246</v>
      </c>
      <c r="Y15" s="89">
        <f>Y14*Y11</f>
        <v>0.18456899999999998</v>
      </c>
      <c r="Z15" s="89">
        <f>Z14*Y11</f>
        <v>0.66549899999999995</v>
      </c>
      <c r="AA15" s="89">
        <f>AA14*Y11</f>
        <v>0.73409400000000002</v>
      </c>
      <c r="AB15" s="261">
        <f>SUM(Y15:AA15)</f>
        <v>1.5841620000000001</v>
      </c>
    </row>
    <row r="16" spans="1:28" ht="17.25" customHeight="1" x14ac:dyDescent="0.3">
      <c r="A16" s="96" t="s">
        <v>499</v>
      </c>
      <c r="B16" s="96" t="s">
        <v>364</v>
      </c>
      <c r="C16" s="97" t="s">
        <v>865</v>
      </c>
      <c r="D16" s="223" t="s">
        <v>1146</v>
      </c>
      <c r="E16" s="98" t="s">
        <v>1130</v>
      </c>
      <c r="F16" s="96" t="s">
        <v>1084</v>
      </c>
      <c r="G16" s="175">
        <v>7.6999999999999999E-2</v>
      </c>
      <c r="H16" s="175">
        <v>0.27700000000000002</v>
      </c>
      <c r="I16" s="175">
        <v>0.252</v>
      </c>
      <c r="J16" s="175">
        <v>0.219</v>
      </c>
      <c r="K16" s="175">
        <v>0.443</v>
      </c>
      <c r="L16" s="175">
        <v>0.26700000000000002</v>
      </c>
      <c r="M16" s="175">
        <v>0.32700000000000001</v>
      </c>
      <c r="N16" s="175">
        <v>0.44600000000000001</v>
      </c>
      <c r="O16" s="175">
        <v>8.5999999999999993E-2</v>
      </c>
      <c r="P16" s="175">
        <v>0.26</v>
      </c>
      <c r="Q16" s="175">
        <v>0.44600000000000001</v>
      </c>
      <c r="R16" s="175">
        <v>0.14899999999999999</v>
      </c>
      <c r="S16" s="100">
        <f t="shared" si="1"/>
        <v>3.2490000000000001</v>
      </c>
      <c r="U16" s="89">
        <v>1.8379999999999996</v>
      </c>
      <c r="Y16" s="225">
        <f>Y15/SUM(Y15:AA15)</f>
        <v>0.11650891764857381</v>
      </c>
      <c r="Z16" s="225">
        <f>Z15/SUM(Y15:AA15)</f>
        <v>0.42009529328439887</v>
      </c>
      <c r="AA16" s="225">
        <f>AA15/SUM(Y15:AA15)</f>
        <v>0.46339578906702722</v>
      </c>
    </row>
    <row r="17" spans="1:23" hidden="1" x14ac:dyDescent="0.3">
      <c r="A17" s="96" t="s">
        <v>463</v>
      </c>
      <c r="B17" s="96" t="s">
        <v>364</v>
      </c>
      <c r="C17" s="97" t="s">
        <v>865</v>
      </c>
      <c r="D17" s="223" t="s">
        <v>1143</v>
      </c>
      <c r="E17" s="98" t="s">
        <v>1130</v>
      </c>
      <c r="F17" s="96" t="s">
        <v>1084</v>
      </c>
      <c r="G17" s="176">
        <v>7.0000000000000001E-3</v>
      </c>
      <c r="H17" s="176">
        <v>7.0000000000000001E-3</v>
      </c>
      <c r="I17" s="176">
        <v>7.0000000000000001E-3</v>
      </c>
      <c r="J17" s="176">
        <v>7.0000000000000001E-3</v>
      </c>
      <c r="K17" s="176">
        <v>7.0000000000000001E-3</v>
      </c>
      <c r="L17" s="176">
        <v>7.0000000000000001E-3</v>
      </c>
      <c r="M17" s="176">
        <v>7.0000000000000001E-3</v>
      </c>
      <c r="N17" s="176">
        <v>7.0000000000000001E-3</v>
      </c>
      <c r="O17" s="176">
        <v>7.0000000000000001E-3</v>
      </c>
      <c r="P17" s="176">
        <v>7.0000000000000001E-3</v>
      </c>
      <c r="Q17" s="176">
        <v>7.0000000000000001E-3</v>
      </c>
      <c r="R17" s="176">
        <v>7.0000000000000001E-3</v>
      </c>
      <c r="S17" s="94">
        <f t="shared" si="1"/>
        <v>8.4000000000000019E-2</v>
      </c>
      <c r="U17" s="89">
        <v>0.19200000000000006</v>
      </c>
    </row>
    <row r="18" spans="1:23" hidden="1" x14ac:dyDescent="0.3">
      <c r="A18" s="96" t="s">
        <v>463</v>
      </c>
      <c r="B18" s="96" t="s">
        <v>364</v>
      </c>
      <c r="C18" s="97" t="s">
        <v>865</v>
      </c>
      <c r="D18" s="223" t="s">
        <v>1144</v>
      </c>
      <c r="E18" s="98" t="s">
        <v>1130</v>
      </c>
      <c r="F18" s="96" t="s">
        <v>1084</v>
      </c>
      <c r="G18" s="176">
        <v>2.5000000000000001E-2</v>
      </c>
      <c r="H18" s="176">
        <v>2.5000000000000001E-2</v>
      </c>
      <c r="I18" s="176">
        <v>2.5000000000000001E-2</v>
      </c>
      <c r="J18" s="176">
        <v>2.5000000000000001E-2</v>
      </c>
      <c r="K18" s="176">
        <v>2.5000000000000001E-2</v>
      </c>
      <c r="L18" s="176">
        <v>2.5000000000000001E-2</v>
      </c>
      <c r="M18" s="176">
        <v>2.5000000000000001E-2</v>
      </c>
      <c r="N18" s="176">
        <v>2.5000000000000001E-2</v>
      </c>
      <c r="O18" s="176">
        <v>2.5000000000000001E-2</v>
      </c>
      <c r="P18" s="176">
        <v>2.5000000000000001E-2</v>
      </c>
      <c r="Q18" s="176">
        <v>2.5000000000000001E-2</v>
      </c>
      <c r="R18" s="176">
        <v>2.5000000000000001E-2</v>
      </c>
      <c r="S18" s="94">
        <f t="shared" si="1"/>
        <v>0.3</v>
      </c>
      <c r="U18" s="89">
        <v>7.1999999999999995E-2</v>
      </c>
    </row>
    <row r="19" spans="1:23" x14ac:dyDescent="0.3">
      <c r="A19" s="96" t="s">
        <v>463</v>
      </c>
      <c r="B19" s="96" t="s">
        <v>364</v>
      </c>
      <c r="C19" s="97" t="s">
        <v>865</v>
      </c>
      <c r="D19" s="223" t="s">
        <v>1146</v>
      </c>
      <c r="E19" s="98" t="s">
        <v>1130</v>
      </c>
      <c r="F19" s="96" t="s">
        <v>1084</v>
      </c>
      <c r="G19" s="176">
        <v>1.9E-2</v>
      </c>
      <c r="H19" s="176">
        <v>1.9E-2</v>
      </c>
      <c r="I19" s="176">
        <v>1.9E-2</v>
      </c>
      <c r="J19" s="176">
        <v>1.9E-2</v>
      </c>
      <c r="K19" s="176">
        <v>1.9E-2</v>
      </c>
      <c r="L19" s="176">
        <v>1.9E-2</v>
      </c>
      <c r="M19" s="176">
        <v>1.9E-2</v>
      </c>
      <c r="N19" s="176">
        <v>1.9E-2</v>
      </c>
      <c r="O19" s="176">
        <v>1.9E-2</v>
      </c>
      <c r="P19" s="176">
        <v>1.9E-2</v>
      </c>
      <c r="Q19" s="176">
        <v>1.9E-2</v>
      </c>
      <c r="R19" s="176">
        <v>1.9E-2</v>
      </c>
      <c r="S19" s="94">
        <f t="shared" si="1"/>
        <v>0.22799999999999995</v>
      </c>
      <c r="U19" s="89">
        <v>0</v>
      </c>
    </row>
    <row r="20" spans="1:23" hidden="1" x14ac:dyDescent="0.3">
      <c r="A20" s="96" t="s">
        <v>517</v>
      </c>
      <c r="B20" s="96"/>
      <c r="C20" s="97" t="s">
        <v>871</v>
      </c>
      <c r="D20" s="223" t="s">
        <v>1143</v>
      </c>
      <c r="E20" s="98" t="s">
        <v>1130</v>
      </c>
      <c r="F20" s="96" t="s">
        <v>1084</v>
      </c>
      <c r="G20" s="176">
        <v>4.1000000000000002E-2</v>
      </c>
      <c r="H20" s="176">
        <v>4.1000000000000002E-2</v>
      </c>
      <c r="I20" s="176">
        <v>4.1000000000000002E-2</v>
      </c>
      <c r="J20" s="176">
        <v>4.1000000000000002E-2</v>
      </c>
      <c r="K20" s="176">
        <v>4.1000000000000002E-2</v>
      </c>
      <c r="L20" s="176">
        <v>4.1000000000000002E-2</v>
      </c>
      <c r="M20" s="176">
        <v>4.1000000000000002E-2</v>
      </c>
      <c r="N20" s="176">
        <v>4.1000000000000002E-2</v>
      </c>
      <c r="O20" s="176">
        <v>4.1000000000000002E-2</v>
      </c>
      <c r="P20" s="176">
        <v>4.1000000000000002E-2</v>
      </c>
      <c r="Q20" s="176">
        <v>4.1000000000000002E-2</v>
      </c>
      <c r="R20" s="176">
        <v>4.1000000000000002E-2</v>
      </c>
      <c r="S20" s="94">
        <f t="shared" si="1"/>
        <v>0.49199999999999994</v>
      </c>
      <c r="U20" s="89">
        <v>0.49199999999999994</v>
      </c>
    </row>
    <row r="21" spans="1:23" hidden="1" x14ac:dyDescent="0.3">
      <c r="A21" s="96" t="s">
        <v>517</v>
      </c>
      <c r="B21" s="96" t="s">
        <v>505</v>
      </c>
      <c r="C21" s="97" t="s">
        <v>871</v>
      </c>
      <c r="D21" s="223" t="s">
        <v>1144</v>
      </c>
      <c r="E21" s="98" t="s">
        <v>1130</v>
      </c>
      <c r="F21" s="96" t="s">
        <v>1084</v>
      </c>
      <c r="G21" s="176">
        <v>0.21</v>
      </c>
      <c r="H21" s="176">
        <v>0.21</v>
      </c>
      <c r="I21" s="176">
        <v>0.21</v>
      </c>
      <c r="J21" s="176">
        <v>0.21</v>
      </c>
      <c r="K21" s="176">
        <v>0.21</v>
      </c>
      <c r="L21" s="176">
        <v>0.21</v>
      </c>
      <c r="M21" s="176">
        <v>0.21</v>
      </c>
      <c r="N21" s="176">
        <v>0.21</v>
      </c>
      <c r="O21" s="176">
        <v>0.21</v>
      </c>
      <c r="P21" s="176">
        <v>0.21</v>
      </c>
      <c r="Q21" s="176">
        <v>0.21</v>
      </c>
      <c r="R21" s="176">
        <v>0.21</v>
      </c>
      <c r="S21" s="94">
        <f t="shared" si="1"/>
        <v>2.52</v>
      </c>
      <c r="U21" s="89">
        <v>0.42000000000000015</v>
      </c>
    </row>
    <row r="22" spans="1:23" ht="27.6" x14ac:dyDescent="0.3">
      <c r="A22" s="96" t="s">
        <v>517</v>
      </c>
      <c r="B22" s="96" t="s">
        <v>505</v>
      </c>
      <c r="C22" s="97" t="s">
        <v>871</v>
      </c>
      <c r="D22" s="223" t="s">
        <v>1146</v>
      </c>
      <c r="E22" s="98" t="s">
        <v>1130</v>
      </c>
      <c r="F22" s="96" t="s">
        <v>1084</v>
      </c>
      <c r="G22" s="176">
        <v>0.27100000000000002</v>
      </c>
      <c r="H22" s="176">
        <v>0.27100000000000002</v>
      </c>
      <c r="I22" s="176">
        <v>0.27100000000000002</v>
      </c>
      <c r="J22" s="176">
        <v>0.27100000000000002</v>
      </c>
      <c r="K22" s="176">
        <v>0.27100000000000002</v>
      </c>
      <c r="L22" s="176">
        <v>0.27100000000000002</v>
      </c>
      <c r="M22" s="176">
        <v>0.27100000000000002</v>
      </c>
      <c r="N22" s="176">
        <v>0.27100000000000002</v>
      </c>
      <c r="O22" s="176">
        <v>0.27100000000000002</v>
      </c>
      <c r="P22" s="176">
        <v>0.27100000000000002</v>
      </c>
      <c r="Q22" s="176">
        <v>0.27100000000000002</v>
      </c>
      <c r="R22" s="176">
        <v>0.27100000000000002</v>
      </c>
      <c r="S22" s="94">
        <f t="shared" si="1"/>
        <v>3.2519999999999993</v>
      </c>
      <c r="U22" s="89">
        <v>0</v>
      </c>
      <c r="V22" s="89" t="s">
        <v>1147</v>
      </c>
    </row>
    <row r="23" spans="1:23" hidden="1" x14ac:dyDescent="0.3">
      <c r="A23" s="96" t="s">
        <v>460</v>
      </c>
      <c r="B23" s="96" t="s">
        <v>364</v>
      </c>
      <c r="C23" s="97" t="s">
        <v>865</v>
      </c>
      <c r="D23" s="223" t="s">
        <v>1143</v>
      </c>
      <c r="E23" s="98" t="s">
        <v>1130</v>
      </c>
      <c r="F23" s="96" t="s">
        <v>1084</v>
      </c>
      <c r="G23" s="175">
        <v>0.23</v>
      </c>
      <c r="H23" s="175">
        <v>0.111</v>
      </c>
      <c r="I23" s="175">
        <v>0.11899999999999999</v>
      </c>
      <c r="J23" s="175">
        <v>7.5999999999999998E-2</v>
      </c>
      <c r="K23" s="175">
        <v>7.8E-2</v>
      </c>
      <c r="L23" s="175">
        <v>7.5999999999999998E-2</v>
      </c>
      <c r="M23" s="175">
        <v>0.04</v>
      </c>
      <c r="N23" s="175">
        <v>0.04</v>
      </c>
      <c r="O23" s="175">
        <v>0.23</v>
      </c>
      <c r="P23" s="175">
        <v>0.35499999999999998</v>
      </c>
      <c r="Q23" s="175">
        <v>0.27200000000000002</v>
      </c>
      <c r="R23" s="175">
        <v>0.192</v>
      </c>
      <c r="S23" s="100">
        <f t="shared" si="1"/>
        <v>1.819</v>
      </c>
      <c r="U23" s="89">
        <v>1.5379999999999998</v>
      </c>
      <c r="W23" s="225">
        <f>(TblWaste[[#This Row],[2024 Total]]+S24)/(TblWaste[[#This Row],[2024 Total]]+S24+S25)</f>
        <v>0.64448336252189131</v>
      </c>
    </row>
    <row r="24" spans="1:23" hidden="1" x14ac:dyDescent="0.3">
      <c r="A24" s="96" t="s">
        <v>460</v>
      </c>
      <c r="B24" s="96" t="s">
        <v>364</v>
      </c>
      <c r="C24" s="97" t="s">
        <v>865</v>
      </c>
      <c r="D24" s="223" t="s">
        <v>1144</v>
      </c>
      <c r="E24" s="98" t="s">
        <v>1130</v>
      </c>
      <c r="F24" s="96" t="s">
        <v>1084</v>
      </c>
      <c r="G24" s="175">
        <v>0.314</v>
      </c>
      <c r="H24" s="175">
        <v>0.4</v>
      </c>
      <c r="I24" s="175">
        <v>0.42699999999999999</v>
      </c>
      <c r="J24" s="175">
        <v>0.34399999999999997</v>
      </c>
      <c r="K24" s="175">
        <v>0.41599999999999998</v>
      </c>
      <c r="L24" s="175">
        <v>0.35499999999999998</v>
      </c>
      <c r="M24" s="175">
        <v>0.47199999999999998</v>
      </c>
      <c r="N24" s="175">
        <v>0.36099999999999999</v>
      </c>
      <c r="O24" s="175">
        <v>0.35699999999999998</v>
      </c>
      <c r="P24" s="175">
        <v>0.68400000000000005</v>
      </c>
      <c r="Q24" s="175">
        <v>0.45500000000000002</v>
      </c>
      <c r="R24" s="175">
        <v>0.22</v>
      </c>
      <c r="S24" s="100">
        <f t="shared" si="1"/>
        <v>4.8049999999999997</v>
      </c>
      <c r="U24" s="89">
        <v>3.4290000000000003</v>
      </c>
    </row>
    <row r="25" spans="1:23" x14ac:dyDescent="0.3">
      <c r="A25" s="96" t="s">
        <v>460</v>
      </c>
      <c r="B25" s="96" t="s">
        <v>364</v>
      </c>
      <c r="C25" s="97" t="s">
        <v>865</v>
      </c>
      <c r="D25" s="223" t="s">
        <v>1146</v>
      </c>
      <c r="E25" s="98" t="s">
        <v>1130</v>
      </c>
      <c r="F25" s="96" t="s">
        <v>1084</v>
      </c>
      <c r="G25" s="175">
        <v>0.18</v>
      </c>
      <c r="H25" s="175">
        <v>0.36199999999999999</v>
      </c>
      <c r="I25" s="175">
        <v>0.35899999999999999</v>
      </c>
      <c r="J25" s="175">
        <v>0.23100000000000001</v>
      </c>
      <c r="K25" s="175">
        <v>0.27200000000000002</v>
      </c>
      <c r="L25" s="175">
        <v>0.17899999999999999</v>
      </c>
      <c r="M25" s="175">
        <v>0.35699999999999998</v>
      </c>
      <c r="N25" s="175">
        <v>0.32900000000000001</v>
      </c>
      <c r="O25" s="175">
        <v>0.51200000000000001</v>
      </c>
      <c r="P25" s="175">
        <v>0.35599999999999998</v>
      </c>
      <c r="Q25" s="175">
        <v>0.32100000000000001</v>
      </c>
      <c r="R25" s="175">
        <v>0.19600000000000001</v>
      </c>
      <c r="S25" s="100">
        <f t="shared" si="1"/>
        <v>3.6540000000000004</v>
      </c>
      <c r="U25" s="89">
        <v>3.8059999999999996</v>
      </c>
    </row>
    <row r="26" spans="1:23" hidden="1" x14ac:dyDescent="0.3">
      <c r="A26" s="96" t="s">
        <v>1094</v>
      </c>
      <c r="B26" s="96" t="s">
        <v>364</v>
      </c>
      <c r="C26" s="97" t="s">
        <v>865</v>
      </c>
      <c r="D26" s="223" t="s">
        <v>1143</v>
      </c>
      <c r="E26" s="98" t="s">
        <v>1130</v>
      </c>
      <c r="F26" s="96" t="s">
        <v>1084</v>
      </c>
      <c r="G26" s="175">
        <v>0.42099999999999999</v>
      </c>
      <c r="H26" s="175">
        <v>0.17599999999999999</v>
      </c>
      <c r="I26" s="175">
        <v>0.33400000000000002</v>
      </c>
      <c r="J26" s="175">
        <v>0.126</v>
      </c>
      <c r="K26" s="175">
        <v>0.17299999999999999</v>
      </c>
      <c r="L26" s="175">
        <v>0.308</v>
      </c>
      <c r="M26" s="175">
        <v>0.20200000000000001</v>
      </c>
      <c r="N26" s="175">
        <v>0.126</v>
      </c>
      <c r="O26" s="175">
        <v>0.11799999999999999</v>
      </c>
      <c r="P26" s="175">
        <v>0.11700000000000001</v>
      </c>
      <c r="Q26" s="175">
        <v>0.14899999999999999</v>
      </c>
      <c r="R26" s="175">
        <v>0.182</v>
      </c>
      <c r="S26" s="100">
        <f>SUM(G26:R26)</f>
        <v>2.4319999999999999</v>
      </c>
      <c r="U26" s="89">
        <v>2.7439999999999998</v>
      </c>
      <c r="W26" s="225">
        <f>(TblWaste[[#This Row],[2024 Total]]+S27)/(TblWaste[[#This Row],[2024 Total]]+S27+S28)</f>
        <v>0.79854933625290814</v>
      </c>
    </row>
    <row r="27" spans="1:23" hidden="1" x14ac:dyDescent="0.3">
      <c r="A27" s="96" t="s">
        <v>1094</v>
      </c>
      <c r="B27" s="96" t="s">
        <v>364</v>
      </c>
      <c r="C27" s="97" t="s">
        <v>865</v>
      </c>
      <c r="D27" s="223" t="s">
        <v>1144</v>
      </c>
      <c r="E27" s="98" t="s">
        <v>1130</v>
      </c>
      <c r="F27" s="96" t="s">
        <v>1084</v>
      </c>
      <c r="G27" s="175">
        <v>0.33200000000000002</v>
      </c>
      <c r="H27" s="175">
        <v>1.476</v>
      </c>
      <c r="I27" s="175">
        <v>1.2649999999999999</v>
      </c>
      <c r="J27" s="175">
        <v>1.254</v>
      </c>
      <c r="K27" s="175">
        <v>1.946</v>
      </c>
      <c r="L27" s="175">
        <v>1.8169999999999999</v>
      </c>
      <c r="M27" s="175">
        <v>1.827</v>
      </c>
      <c r="N27" s="175">
        <v>3.2789999999999999</v>
      </c>
      <c r="O27" s="175">
        <v>1.9419999999999999</v>
      </c>
      <c r="P27" s="175">
        <v>2.06</v>
      </c>
      <c r="Q27" s="175">
        <v>2.0979999999999999</v>
      </c>
      <c r="R27" s="175">
        <v>1.6120000000000001</v>
      </c>
      <c r="S27" s="100">
        <f>SUM(G27:R27)</f>
        <v>20.908000000000001</v>
      </c>
      <c r="U27" s="261">
        <v>19.323752669000001</v>
      </c>
    </row>
    <row r="28" spans="1:23" x14ac:dyDescent="0.3">
      <c r="A28" s="96" t="s">
        <v>1094</v>
      </c>
      <c r="B28" s="96" t="s">
        <v>364</v>
      </c>
      <c r="C28" s="97" t="s">
        <v>865</v>
      </c>
      <c r="D28" s="223" t="s">
        <v>1146</v>
      </c>
      <c r="E28" s="98" t="s">
        <v>1130</v>
      </c>
      <c r="F28" s="96" t="s">
        <v>1084</v>
      </c>
      <c r="G28" s="175">
        <v>0.373</v>
      </c>
      <c r="H28" s="175">
        <v>0.77100000000000002</v>
      </c>
      <c r="I28" s="175">
        <v>0.51200000000000001</v>
      </c>
      <c r="J28" s="175">
        <v>0.60799999999999998</v>
      </c>
      <c r="K28" s="175">
        <v>0.75600000000000001</v>
      </c>
      <c r="L28" s="175">
        <v>0.48699999999999999</v>
      </c>
      <c r="M28" s="175">
        <v>0.309</v>
      </c>
      <c r="N28" s="175">
        <v>0.29099999999999998</v>
      </c>
      <c r="O28" s="175">
        <v>0.34599999999999997</v>
      </c>
      <c r="P28" s="175">
        <v>0.52900000000000003</v>
      </c>
      <c r="Q28" s="175">
        <v>0.45800000000000002</v>
      </c>
      <c r="R28" s="175">
        <v>0.44800000000000001</v>
      </c>
      <c r="S28" s="100">
        <f>SUM(G28:R28)</f>
        <v>5.8880000000000017</v>
      </c>
      <c r="U28" s="261">
        <v>6.165</v>
      </c>
    </row>
    <row r="29" spans="1:23" hidden="1" x14ac:dyDescent="0.3">
      <c r="A29" s="96" t="s">
        <v>1095</v>
      </c>
      <c r="B29" s="96" t="s">
        <v>364</v>
      </c>
      <c r="C29" s="97" t="s">
        <v>865</v>
      </c>
      <c r="D29" s="223" t="s">
        <v>1143</v>
      </c>
      <c r="E29" s="98" t="s">
        <v>1130</v>
      </c>
      <c r="F29" s="96" t="s">
        <v>1084</v>
      </c>
      <c r="G29" s="175">
        <v>0.16200000000000001</v>
      </c>
      <c r="H29" s="175">
        <v>0.249</v>
      </c>
      <c r="I29" s="175">
        <v>0.29199999999999998</v>
      </c>
      <c r="J29" s="175">
        <v>0.12</v>
      </c>
      <c r="K29" s="175">
        <v>0.108</v>
      </c>
      <c r="L29" s="175">
        <v>0.128</v>
      </c>
      <c r="M29" s="175">
        <v>0.253</v>
      </c>
      <c r="N29" s="175">
        <v>8.8999999999999996E-2</v>
      </c>
      <c r="O29" s="175">
        <v>0.108</v>
      </c>
      <c r="P29" s="175">
        <v>0.30199999999999999</v>
      </c>
      <c r="Q29" s="175">
        <v>0.318</v>
      </c>
      <c r="R29" s="175">
        <v>0.27600000000000002</v>
      </c>
      <c r="S29" s="100">
        <f t="shared" si="1"/>
        <v>2.4050000000000002</v>
      </c>
      <c r="U29" s="261">
        <v>2.3600000000000003</v>
      </c>
      <c r="W29" s="225">
        <f>(TblWaste[[#This Row],[2024 Total]]+S30)/(TblWaste[[#This Row],[2024 Total]]+S30+S31)</f>
        <v>0.56995127771701304</v>
      </c>
    </row>
    <row r="30" spans="1:23" hidden="1" x14ac:dyDescent="0.3">
      <c r="A30" s="96" t="s">
        <v>1095</v>
      </c>
      <c r="B30" s="96" t="s">
        <v>364</v>
      </c>
      <c r="C30" s="97" t="s">
        <v>865</v>
      </c>
      <c r="D30" s="223" t="s">
        <v>1144</v>
      </c>
      <c r="E30" s="98" t="s">
        <v>1130</v>
      </c>
      <c r="F30" s="96" t="s">
        <v>1084</v>
      </c>
      <c r="G30" s="175">
        <v>0.191</v>
      </c>
      <c r="H30" s="175">
        <v>0.28299999999999997</v>
      </c>
      <c r="I30" s="175">
        <v>0.223</v>
      </c>
      <c r="J30" s="175">
        <v>0.82199999999999995</v>
      </c>
      <c r="K30" s="175">
        <v>0.22700000000000001</v>
      </c>
      <c r="L30" s="175">
        <v>0.23899999999999999</v>
      </c>
      <c r="M30" s="175">
        <v>0.312</v>
      </c>
      <c r="N30" s="175">
        <v>0.16200000000000001</v>
      </c>
      <c r="O30" s="175">
        <v>0.22700000000000001</v>
      </c>
      <c r="P30" s="175">
        <v>0.24099999999999999</v>
      </c>
      <c r="Q30" s="175">
        <v>0.17799999999999999</v>
      </c>
      <c r="R30" s="175">
        <v>0.222</v>
      </c>
      <c r="S30" s="100">
        <f t="shared" si="1"/>
        <v>3.3269999999999995</v>
      </c>
      <c r="U30" s="261">
        <v>2.694</v>
      </c>
    </row>
    <row r="31" spans="1:23" x14ac:dyDescent="0.3">
      <c r="A31" s="96" t="s">
        <v>1095</v>
      </c>
      <c r="B31" s="96" t="s">
        <v>364</v>
      </c>
      <c r="C31" s="97" t="s">
        <v>865</v>
      </c>
      <c r="D31" s="223" t="s">
        <v>1146</v>
      </c>
      <c r="E31" s="98" t="s">
        <v>1130</v>
      </c>
      <c r="F31" s="96" t="s">
        <v>1084</v>
      </c>
      <c r="G31" s="175">
        <v>0.34</v>
      </c>
      <c r="H31" s="175">
        <v>0.47599999999999998</v>
      </c>
      <c r="I31" s="175">
        <v>0.36899999999999999</v>
      </c>
      <c r="J31" s="175">
        <v>0.38200000000000001</v>
      </c>
      <c r="K31" s="175">
        <v>0.316</v>
      </c>
      <c r="L31" s="175">
        <v>0.308</v>
      </c>
      <c r="M31" s="175">
        <v>0.34</v>
      </c>
      <c r="N31" s="175">
        <v>0.441</v>
      </c>
      <c r="O31" s="175">
        <v>0.17699999999999999</v>
      </c>
      <c r="P31" s="175">
        <v>0.40200000000000002</v>
      </c>
      <c r="Q31" s="175">
        <v>0.34699999999999998</v>
      </c>
      <c r="R31" s="175">
        <v>0.42699999999999999</v>
      </c>
      <c r="S31" s="100">
        <f t="shared" si="1"/>
        <v>4.3250000000000002</v>
      </c>
      <c r="U31" s="261">
        <v>4.1660000000000004</v>
      </c>
    </row>
    <row r="32" spans="1:23" hidden="1" x14ac:dyDescent="0.3">
      <c r="A32" s="96" t="s">
        <v>456</v>
      </c>
      <c r="B32" s="96" t="s">
        <v>364</v>
      </c>
      <c r="C32" s="97" t="s">
        <v>871</v>
      </c>
      <c r="D32" s="223" t="s">
        <v>1143</v>
      </c>
      <c r="E32" s="98" t="s">
        <v>1130</v>
      </c>
      <c r="F32" s="96" t="s">
        <v>1084</v>
      </c>
      <c r="G32" s="175">
        <v>0.19400000000000001</v>
      </c>
      <c r="H32" s="175">
        <v>0.314</v>
      </c>
      <c r="I32" s="175">
        <v>0.19700000000000001</v>
      </c>
      <c r="J32" s="175">
        <v>0.218</v>
      </c>
      <c r="K32" s="175">
        <v>0.21199999999999999</v>
      </c>
      <c r="L32" s="175">
        <v>0.21299999999999999</v>
      </c>
      <c r="M32" s="175">
        <v>0.23400000000000001</v>
      </c>
      <c r="N32" s="175">
        <v>0.34399999999999997</v>
      </c>
      <c r="O32" s="175">
        <v>0.27</v>
      </c>
      <c r="P32" s="175">
        <v>0.20499999999999999</v>
      </c>
      <c r="Q32" s="175">
        <v>0.23599999999999999</v>
      </c>
      <c r="R32" s="175">
        <v>0.221</v>
      </c>
      <c r="S32" s="329">
        <f t="shared" si="1"/>
        <v>2.8580000000000005</v>
      </c>
      <c r="U32" s="261">
        <v>2.0829999999999997</v>
      </c>
      <c r="W32" s="225">
        <f>(TblWaste[[#This Row],[2024 Total]]+S33)/(TblWaste[[#This Row],[2024 Total]]+S33+S34)</f>
        <v>0.44838035767579615</v>
      </c>
    </row>
    <row r="33" spans="1:23" ht="27.6" hidden="1" x14ac:dyDescent="0.3">
      <c r="A33" s="96" t="s">
        <v>456</v>
      </c>
      <c r="B33" s="96" t="s">
        <v>364</v>
      </c>
      <c r="C33" s="97" t="s">
        <v>871</v>
      </c>
      <c r="D33" s="223" t="s">
        <v>1144</v>
      </c>
      <c r="E33" s="98" t="s">
        <v>1130</v>
      </c>
      <c r="F33" s="96" t="s">
        <v>1084</v>
      </c>
      <c r="G33" s="175">
        <v>1.8140000000000001</v>
      </c>
      <c r="H33" s="175">
        <v>1.405</v>
      </c>
      <c r="I33" s="175">
        <v>1.546</v>
      </c>
      <c r="J33" s="175">
        <v>0.748</v>
      </c>
      <c r="K33" s="175">
        <v>1.5569999999999999</v>
      </c>
      <c r="L33" s="175">
        <v>1.2090000000000001</v>
      </c>
      <c r="M33" s="175">
        <v>1.681</v>
      </c>
      <c r="N33" s="175">
        <v>1.0449999999999999</v>
      </c>
      <c r="O33" s="175">
        <v>1.1599999999999999</v>
      </c>
      <c r="P33" s="175">
        <v>1.296</v>
      </c>
      <c r="Q33" s="175">
        <v>1.478</v>
      </c>
      <c r="R33" s="175">
        <v>1.734</v>
      </c>
      <c r="S33" s="329">
        <f t="shared" si="1"/>
        <v>16.673000000000002</v>
      </c>
      <c r="U33" s="261">
        <v>17.163999999999998</v>
      </c>
      <c r="V33" s="89" t="s">
        <v>1147</v>
      </c>
    </row>
    <row r="34" spans="1:23" x14ac:dyDescent="0.3">
      <c r="A34" s="96" t="s">
        <v>456</v>
      </c>
      <c r="B34" s="96" t="s">
        <v>364</v>
      </c>
      <c r="C34" s="97" t="s">
        <v>871</v>
      </c>
      <c r="D34" s="223" t="s">
        <v>1146</v>
      </c>
      <c r="E34" s="98" t="s">
        <v>1130</v>
      </c>
      <c r="F34" s="96" t="s">
        <v>1084</v>
      </c>
      <c r="G34" s="175">
        <v>2.5139999999999998</v>
      </c>
      <c r="H34" s="175">
        <v>1.9179999999999999</v>
      </c>
      <c r="I34" s="175">
        <v>2.2890000000000001</v>
      </c>
      <c r="J34" s="175">
        <v>2.1179999999999999</v>
      </c>
      <c r="K34" s="175">
        <v>1.92</v>
      </c>
      <c r="L34" s="175">
        <v>2.1930000000000001</v>
      </c>
      <c r="M34" s="175">
        <v>2.3679999999999999</v>
      </c>
      <c r="N34" s="175">
        <v>2.0209999999999999</v>
      </c>
      <c r="O34" s="175">
        <v>1.56</v>
      </c>
      <c r="P34" s="175">
        <v>2.0640000000000001</v>
      </c>
      <c r="Q34" s="175">
        <v>1.982</v>
      </c>
      <c r="R34" s="175">
        <v>1.081</v>
      </c>
      <c r="S34" s="329">
        <f t="shared" si="1"/>
        <v>24.027999999999999</v>
      </c>
      <c r="U34" s="261">
        <v>23.526500000000002</v>
      </c>
    </row>
    <row r="35" spans="1:23" hidden="1" x14ac:dyDescent="0.3">
      <c r="A35" s="96" t="s">
        <v>461</v>
      </c>
      <c r="B35" s="96" t="s">
        <v>364</v>
      </c>
      <c r="C35" s="97" t="s">
        <v>865</v>
      </c>
      <c r="D35" s="223" t="s">
        <v>1143</v>
      </c>
      <c r="E35" s="98" t="s">
        <v>1130</v>
      </c>
      <c r="F35" s="96" t="s">
        <v>1084</v>
      </c>
      <c r="G35" s="175">
        <v>0.104</v>
      </c>
      <c r="H35" s="175">
        <v>0.217</v>
      </c>
      <c r="I35" s="175">
        <v>0.16</v>
      </c>
      <c r="J35" s="175">
        <v>0.14499999999999999</v>
      </c>
      <c r="K35" s="175">
        <v>0.161</v>
      </c>
      <c r="L35" s="175">
        <v>0.185</v>
      </c>
      <c r="M35" s="175">
        <v>0.23100000000000001</v>
      </c>
      <c r="N35" s="175">
        <v>0.219</v>
      </c>
      <c r="O35" s="175">
        <v>0.214</v>
      </c>
      <c r="P35" s="175">
        <v>0.311</v>
      </c>
      <c r="Q35" s="175">
        <v>0.309</v>
      </c>
      <c r="R35" s="175">
        <v>0.27600000000000002</v>
      </c>
      <c r="S35" s="329">
        <f t="shared" si="1"/>
        <v>2.532</v>
      </c>
      <c r="U35" s="261">
        <v>1.5226249983087179</v>
      </c>
      <c r="W35" s="225">
        <f>(TblWaste[[#This Row],[2024 Total]]+S36)/(TblWaste[[#This Row],[2024 Total]]+S36+S37)</f>
        <v>0.50154177124417354</v>
      </c>
    </row>
    <row r="36" spans="1:23" hidden="1" x14ac:dyDescent="0.3">
      <c r="A36" s="96" t="s">
        <v>461</v>
      </c>
      <c r="B36" s="96" t="s">
        <v>364</v>
      </c>
      <c r="C36" s="97" t="s">
        <v>865</v>
      </c>
      <c r="D36" s="223" t="s">
        <v>1144</v>
      </c>
      <c r="E36" s="98" t="s">
        <v>1130</v>
      </c>
      <c r="F36" s="96" t="s">
        <v>1084</v>
      </c>
      <c r="G36" s="175">
        <v>0.313</v>
      </c>
      <c r="H36" s="175">
        <v>0.42899999999999999</v>
      </c>
      <c r="I36" s="175">
        <v>0.47</v>
      </c>
      <c r="J36" s="175">
        <v>0.29799999999999999</v>
      </c>
      <c r="K36" s="175">
        <v>0.39800000000000002</v>
      </c>
      <c r="L36" s="175">
        <v>0.317</v>
      </c>
      <c r="M36" s="175">
        <v>0.48299999999999998</v>
      </c>
      <c r="N36" s="175">
        <v>0.40699999999999997</v>
      </c>
      <c r="O36" s="175">
        <v>0.34799999999999998</v>
      </c>
      <c r="P36" s="175">
        <v>0.254</v>
      </c>
      <c r="Q36" s="175">
        <v>0.313</v>
      </c>
      <c r="R36" s="175">
        <v>0.432</v>
      </c>
      <c r="S36" s="100">
        <f t="shared" si="1"/>
        <v>4.4620000000000006</v>
      </c>
      <c r="U36" s="261">
        <v>4.9007600112122294</v>
      </c>
    </row>
    <row r="37" spans="1:23" x14ac:dyDescent="0.3">
      <c r="A37" s="96" t="s">
        <v>461</v>
      </c>
      <c r="B37" s="96" t="s">
        <v>364</v>
      </c>
      <c r="C37" s="97" t="s">
        <v>865</v>
      </c>
      <c r="D37" s="223" t="s">
        <v>1146</v>
      </c>
      <c r="E37" s="98" t="s">
        <v>1130</v>
      </c>
      <c r="F37" s="96" t="s">
        <v>1084</v>
      </c>
      <c r="G37" s="175">
        <v>0.63800000000000001</v>
      </c>
      <c r="H37" s="175">
        <v>0.81699999999999995</v>
      </c>
      <c r="I37" s="175">
        <v>0.54300000000000004</v>
      </c>
      <c r="J37" s="175">
        <v>0.41199999999999998</v>
      </c>
      <c r="K37" s="175">
        <v>0.59699999999999998</v>
      </c>
      <c r="L37" s="175">
        <v>0.40799999999999997</v>
      </c>
      <c r="M37" s="175">
        <v>0.51500000000000001</v>
      </c>
      <c r="N37" s="175">
        <v>0.53100000000000003</v>
      </c>
      <c r="O37" s="175">
        <v>0.59499999999999997</v>
      </c>
      <c r="P37" s="175">
        <v>0.53200000000000003</v>
      </c>
      <c r="Q37" s="175">
        <v>0.79500000000000004</v>
      </c>
      <c r="R37" s="175">
        <v>0.56799999999999995</v>
      </c>
      <c r="S37" s="100">
        <f t="shared" si="1"/>
        <v>6.9509999999999996</v>
      </c>
      <c r="U37" s="261">
        <v>6.0101407102424584</v>
      </c>
    </row>
    <row r="38" spans="1:23" hidden="1" x14ac:dyDescent="0.3">
      <c r="A38" s="96" t="s">
        <v>462</v>
      </c>
      <c r="B38" s="96" t="s">
        <v>364</v>
      </c>
      <c r="C38" s="97" t="s">
        <v>865</v>
      </c>
      <c r="D38" s="223" t="s">
        <v>1143</v>
      </c>
      <c r="E38" s="98" t="s">
        <v>1130</v>
      </c>
      <c r="F38" s="96" t="s">
        <v>1084</v>
      </c>
      <c r="G38" s="175">
        <v>9.8000000000000004E-2</v>
      </c>
      <c r="H38" s="175">
        <v>9.6000000000000002E-2</v>
      </c>
      <c r="I38" s="175">
        <v>0.318</v>
      </c>
      <c r="J38" s="175">
        <v>8.4000000000000005E-2</v>
      </c>
      <c r="K38" s="175">
        <v>0.219</v>
      </c>
      <c r="L38" s="175">
        <v>5.3999999999999999E-2</v>
      </c>
      <c r="M38" s="175">
        <v>4.8000000000000001E-2</v>
      </c>
      <c r="N38" s="175">
        <v>6.6000000000000003E-2</v>
      </c>
      <c r="O38" s="175">
        <v>4.4999999999999998E-2</v>
      </c>
      <c r="P38" s="175">
        <v>8.6999999999999994E-2</v>
      </c>
      <c r="Q38" s="175">
        <v>0.11700000000000001</v>
      </c>
      <c r="R38" s="175">
        <v>0.09</v>
      </c>
      <c r="S38" s="100">
        <f t="shared" si="1"/>
        <v>1.3220000000000001</v>
      </c>
      <c r="U38" s="261">
        <v>1.7903249924039537</v>
      </c>
      <c r="W38" s="225">
        <f>(TblWaste[[#This Row],[2024 Total]]+S39)/(TblWaste[[#This Row],[2024 Total]]+S39+S40)</f>
        <v>0.88711696869851731</v>
      </c>
    </row>
    <row r="39" spans="1:23" hidden="1" x14ac:dyDescent="0.3">
      <c r="A39" s="96" t="s">
        <v>462</v>
      </c>
      <c r="B39" s="96" t="s">
        <v>364</v>
      </c>
      <c r="C39" s="97" t="s">
        <v>865</v>
      </c>
      <c r="D39" s="223" t="s">
        <v>1144</v>
      </c>
      <c r="E39" s="98" t="s">
        <v>1130</v>
      </c>
      <c r="F39" s="96" t="s">
        <v>1084</v>
      </c>
      <c r="G39" s="175">
        <v>0.64800000000000002</v>
      </c>
      <c r="H39" s="175">
        <v>0.64800000000000002</v>
      </c>
      <c r="I39" s="175">
        <v>0.433</v>
      </c>
      <c r="J39" s="175">
        <v>0.63800000000000001</v>
      </c>
      <c r="K39" s="175">
        <v>0.66300000000000003</v>
      </c>
      <c r="L39" s="175">
        <v>0.68100000000000005</v>
      </c>
      <c r="M39" s="175">
        <v>0.65500000000000003</v>
      </c>
      <c r="N39" s="175">
        <v>1.3779999999999999</v>
      </c>
      <c r="O39" s="175">
        <v>1.2330000000000001</v>
      </c>
      <c r="P39" s="175">
        <v>1.45</v>
      </c>
      <c r="Q39" s="175">
        <v>1.8280000000000001</v>
      </c>
      <c r="R39" s="175">
        <v>1.885</v>
      </c>
      <c r="S39" s="100">
        <f t="shared" si="1"/>
        <v>12.139999999999999</v>
      </c>
      <c r="U39" s="261">
        <v>12.070916696337026</v>
      </c>
    </row>
    <row r="40" spans="1:23" x14ac:dyDescent="0.3">
      <c r="A40" s="96" t="s">
        <v>462</v>
      </c>
      <c r="B40" s="96" t="s">
        <v>364</v>
      </c>
      <c r="C40" s="97" t="s">
        <v>865</v>
      </c>
      <c r="D40" s="223" t="s">
        <v>1146</v>
      </c>
      <c r="E40" s="98" t="s">
        <v>1130</v>
      </c>
      <c r="F40" s="96" t="s">
        <v>1084</v>
      </c>
      <c r="G40" s="175">
        <v>9.7000000000000003E-2</v>
      </c>
      <c r="H40" s="175">
        <v>0.192</v>
      </c>
      <c r="I40" s="175">
        <v>8.6999999999999994E-2</v>
      </c>
      <c r="J40" s="175">
        <v>0.16800000000000001</v>
      </c>
      <c r="K40" s="175">
        <v>0.17399999999999999</v>
      </c>
      <c r="L40" s="175">
        <v>8.4000000000000005E-2</v>
      </c>
      <c r="M40" s="175">
        <v>7.0000000000000007E-2</v>
      </c>
      <c r="N40" s="175">
        <v>0.17</v>
      </c>
      <c r="O40" s="175">
        <v>0.17699999999999999</v>
      </c>
      <c r="P40" s="175">
        <v>0.191</v>
      </c>
      <c r="Q40" s="175">
        <v>0.16400000000000001</v>
      </c>
      <c r="R40" s="175">
        <v>0.13900000000000001</v>
      </c>
      <c r="S40" s="100">
        <f t="shared" si="1"/>
        <v>1.7129999999999999</v>
      </c>
      <c r="U40" s="261">
        <v>4.3234840099999996</v>
      </c>
    </row>
    <row r="41" spans="1:23" hidden="1" x14ac:dyDescent="0.3">
      <c r="A41" s="96" t="s">
        <v>459</v>
      </c>
      <c r="B41" s="96" t="s">
        <v>364</v>
      </c>
      <c r="C41" s="97" t="s">
        <v>865</v>
      </c>
      <c r="D41" s="223" t="s">
        <v>1143</v>
      </c>
      <c r="E41" s="98" t="s">
        <v>1130</v>
      </c>
      <c r="F41" s="96" t="s">
        <v>1084</v>
      </c>
      <c r="G41" s="175">
        <v>0.28000000000000003</v>
      </c>
      <c r="H41" s="175">
        <v>0.16900000000000001</v>
      </c>
      <c r="I41" s="175">
        <v>0.23699999999999999</v>
      </c>
      <c r="J41" s="175">
        <v>0.33200000000000002</v>
      </c>
      <c r="K41" s="175">
        <v>0.48199999999999998</v>
      </c>
      <c r="L41" s="175">
        <v>0.27300000000000002</v>
      </c>
      <c r="M41" s="175">
        <v>0.214</v>
      </c>
      <c r="N41" s="175">
        <v>0.22800000000000001</v>
      </c>
      <c r="O41" s="175">
        <v>0.246</v>
      </c>
      <c r="P41" s="175">
        <v>0.30199999999999999</v>
      </c>
      <c r="Q41" s="175">
        <v>0.308</v>
      </c>
      <c r="R41" s="175">
        <v>0.15</v>
      </c>
      <c r="S41" s="100">
        <f t="shared" si="1"/>
        <v>3.2210000000000001</v>
      </c>
      <c r="U41" s="89">
        <v>3.1160000000000001</v>
      </c>
      <c r="W41" s="225">
        <f>(TblWaste[[#This Row],[2024 Total]]+S42)/(TblWaste[[#This Row],[2024 Total]]+S42+S43)</f>
        <v>0.47978854060981474</v>
      </c>
    </row>
    <row r="42" spans="1:23" hidden="1" x14ac:dyDescent="0.3">
      <c r="A42" s="96" t="s">
        <v>459</v>
      </c>
      <c r="B42" s="96" t="s">
        <v>364</v>
      </c>
      <c r="C42" s="97" t="s">
        <v>865</v>
      </c>
      <c r="D42" s="223" t="s">
        <v>1144</v>
      </c>
      <c r="E42" s="98" t="s">
        <v>1130</v>
      </c>
      <c r="F42" s="96" t="s">
        <v>1084</v>
      </c>
      <c r="G42" s="175">
        <v>0.39700000000000002</v>
      </c>
      <c r="H42" s="175">
        <v>0.27</v>
      </c>
      <c r="I42" s="175">
        <v>0.42799999999999999</v>
      </c>
      <c r="J42" s="175">
        <v>0.47199999999999998</v>
      </c>
      <c r="K42" s="175">
        <v>0.59399999999999997</v>
      </c>
      <c r="L42" s="175">
        <v>1.2869999999999999</v>
      </c>
      <c r="M42" s="175">
        <v>0.436</v>
      </c>
      <c r="N42" s="175">
        <v>0.375</v>
      </c>
      <c r="O42" s="175">
        <v>0.55000000000000004</v>
      </c>
      <c r="P42" s="175">
        <v>0.49099999999999999</v>
      </c>
      <c r="Q42" s="175">
        <v>0.23799999999999999</v>
      </c>
      <c r="R42" s="175">
        <v>0.22600000000000001</v>
      </c>
      <c r="S42" s="100">
        <f t="shared" si="1"/>
        <v>5.7640000000000002</v>
      </c>
      <c r="U42" s="89">
        <v>9.109</v>
      </c>
    </row>
    <row r="43" spans="1:23" x14ac:dyDescent="0.3">
      <c r="A43" s="96" t="s">
        <v>459</v>
      </c>
      <c r="B43" s="96" t="s">
        <v>364</v>
      </c>
      <c r="C43" s="97" t="s">
        <v>865</v>
      </c>
      <c r="D43" s="223" t="s">
        <v>1146</v>
      </c>
      <c r="E43" s="98" t="s">
        <v>1130</v>
      </c>
      <c r="F43" s="96" t="s">
        <v>1084</v>
      </c>
      <c r="G43" s="175">
        <v>0.48699999999999999</v>
      </c>
      <c r="H43" s="175">
        <v>0.51200000000000001</v>
      </c>
      <c r="I43" s="175">
        <v>0.92900000000000005</v>
      </c>
      <c r="J43" s="175">
        <v>0.98899999999999999</v>
      </c>
      <c r="K43" s="175">
        <v>1.1890000000000001</v>
      </c>
      <c r="L43" s="175">
        <v>1.1759999999999999</v>
      </c>
      <c r="M43" s="175">
        <v>0.81799999999999995</v>
      </c>
      <c r="N43" s="175">
        <v>0.91400000000000003</v>
      </c>
      <c r="O43" s="175">
        <v>0.65700000000000003</v>
      </c>
      <c r="P43" s="175">
        <v>0.86899999999999999</v>
      </c>
      <c r="Q43" s="175">
        <v>0.74</v>
      </c>
      <c r="R43" s="175">
        <v>0.46200000000000002</v>
      </c>
      <c r="S43" s="100">
        <f t="shared" si="1"/>
        <v>9.7419999999999991</v>
      </c>
      <c r="U43" s="89">
        <v>7.4529999999999994</v>
      </c>
    </row>
    <row r="44" spans="1:23" hidden="1" x14ac:dyDescent="0.3">
      <c r="A44" s="179" t="s">
        <v>836</v>
      </c>
      <c r="B44" s="96" t="s">
        <v>505</v>
      </c>
      <c r="C44" s="97" t="s">
        <v>871</v>
      </c>
      <c r="D44" s="223" t="s">
        <v>1143</v>
      </c>
      <c r="E44" s="98" t="s">
        <v>1130</v>
      </c>
      <c r="F44" s="96" t="s">
        <v>1084</v>
      </c>
      <c r="G44" s="175">
        <v>0</v>
      </c>
      <c r="H44" s="175">
        <v>0</v>
      </c>
      <c r="I44" s="175">
        <v>0</v>
      </c>
      <c r="J44" s="175">
        <v>0</v>
      </c>
      <c r="K44" s="175">
        <v>0</v>
      </c>
      <c r="L44" s="175">
        <v>0</v>
      </c>
      <c r="M44" s="175">
        <v>0</v>
      </c>
      <c r="N44" s="175">
        <v>0</v>
      </c>
      <c r="O44" s="175">
        <v>0</v>
      </c>
      <c r="P44" s="175">
        <v>0</v>
      </c>
      <c r="Q44" s="175">
        <v>0</v>
      </c>
      <c r="R44" s="175">
        <v>0</v>
      </c>
      <c r="S44" s="100">
        <f t="shared" si="1"/>
        <v>0</v>
      </c>
      <c r="U44" s="89">
        <v>12.21</v>
      </c>
      <c r="W44" s="225">
        <f>(TblWaste[[#This Row],[2024 Total]]+S45)/(TblWaste[[#This Row],[2024 Total]]+S45+S46)</f>
        <v>0.40052356020942403</v>
      </c>
    </row>
    <row r="45" spans="1:23" hidden="1" x14ac:dyDescent="0.3">
      <c r="A45" s="179" t="s">
        <v>836</v>
      </c>
      <c r="B45" s="96" t="s">
        <v>505</v>
      </c>
      <c r="C45" s="97" t="s">
        <v>871</v>
      </c>
      <c r="D45" s="223" t="s">
        <v>1144</v>
      </c>
      <c r="E45" s="98" t="s">
        <v>1130</v>
      </c>
      <c r="F45" s="96" t="s">
        <v>1084</v>
      </c>
      <c r="G45" s="175">
        <v>0.13700000000000001</v>
      </c>
      <c r="H45" s="175">
        <v>0.188</v>
      </c>
      <c r="I45" s="175">
        <v>5.8000000000000003E-2</v>
      </c>
      <c r="J45" s="175">
        <v>7.6999999999999999E-2</v>
      </c>
      <c r="K45" s="175">
        <v>0.08</v>
      </c>
      <c r="L45" s="175">
        <v>7.8E-2</v>
      </c>
      <c r="M45" s="175">
        <v>0.129</v>
      </c>
      <c r="N45" s="175">
        <v>0</v>
      </c>
      <c r="O45" s="175">
        <v>8.9999999999999993E-3</v>
      </c>
      <c r="P45" s="175">
        <v>9.4E-2</v>
      </c>
      <c r="Q45" s="175">
        <v>0.10100000000000001</v>
      </c>
      <c r="R45" s="175">
        <v>0.12</v>
      </c>
      <c r="S45" s="100">
        <f t="shared" si="1"/>
        <v>1.071</v>
      </c>
      <c r="U45" s="89">
        <v>8.5500000000000007</v>
      </c>
    </row>
    <row r="46" spans="1:23" x14ac:dyDescent="0.3">
      <c r="A46" s="179" t="s">
        <v>836</v>
      </c>
      <c r="B46" s="96" t="s">
        <v>505</v>
      </c>
      <c r="C46" s="97" t="s">
        <v>871</v>
      </c>
      <c r="D46" s="223" t="s">
        <v>1146</v>
      </c>
      <c r="E46" s="98" t="s">
        <v>1130</v>
      </c>
      <c r="F46" s="96" t="s">
        <v>1084</v>
      </c>
      <c r="G46" s="175">
        <v>0.20200000000000001</v>
      </c>
      <c r="H46" s="175">
        <v>0</v>
      </c>
      <c r="I46" s="175">
        <v>0</v>
      </c>
      <c r="J46" s="175">
        <v>0</v>
      </c>
      <c r="K46" s="175">
        <v>0</v>
      </c>
      <c r="L46" s="175">
        <v>0.12</v>
      </c>
      <c r="M46" s="175">
        <v>0.217</v>
      </c>
      <c r="N46" s="175">
        <v>0.51700000000000002</v>
      </c>
      <c r="O46" s="175">
        <v>7.8E-2</v>
      </c>
      <c r="P46" s="175">
        <v>0.21199999999999999</v>
      </c>
      <c r="Q46" s="175">
        <v>8.4000000000000005E-2</v>
      </c>
      <c r="R46" s="175">
        <v>0.17299999999999999</v>
      </c>
      <c r="S46" s="100">
        <f t="shared" si="1"/>
        <v>1.6030000000000002</v>
      </c>
      <c r="U46" s="89">
        <v>13.200000000000005</v>
      </c>
    </row>
    <row r="47" spans="1:23" ht="14.4" hidden="1" x14ac:dyDescent="0.3">
      <c r="A47" t="s">
        <v>841</v>
      </c>
      <c r="B47" s="96" t="s">
        <v>505</v>
      </c>
      <c r="C47" s="97" t="s">
        <v>865</v>
      </c>
      <c r="D47" s="223" t="s">
        <v>1143</v>
      </c>
      <c r="E47" s="98" t="s">
        <v>1130</v>
      </c>
      <c r="F47" s="96" t="s">
        <v>1084</v>
      </c>
      <c r="G47" s="175">
        <v>0.6</v>
      </c>
      <c r="H47" s="175">
        <v>0.3</v>
      </c>
      <c r="I47" s="175">
        <v>0.44</v>
      </c>
      <c r="J47" s="175">
        <v>1.22</v>
      </c>
      <c r="K47" s="175">
        <v>0</v>
      </c>
      <c r="L47" s="175">
        <v>0.62</v>
      </c>
      <c r="M47" s="175">
        <v>0.3</v>
      </c>
      <c r="N47" s="175">
        <v>0.67</v>
      </c>
      <c r="O47" s="175">
        <v>0.41</v>
      </c>
      <c r="P47" s="175">
        <v>0.85</v>
      </c>
      <c r="Q47" s="175">
        <v>0.49</v>
      </c>
      <c r="R47" s="175">
        <v>0.87</v>
      </c>
      <c r="S47" s="100">
        <f t="shared" ref="S47:S55" si="2">SUM(G47:R47)</f>
        <v>6.77</v>
      </c>
      <c r="U47" s="89">
        <v>12.21</v>
      </c>
      <c r="W47" s="225">
        <f>(S47+S48)/(S47+S48+S49)</f>
        <v>0.66428911079410358</v>
      </c>
    </row>
    <row r="48" spans="1:23" ht="14.4" hidden="1" x14ac:dyDescent="0.3">
      <c r="A48" t="s">
        <v>841</v>
      </c>
      <c r="B48" s="96" t="s">
        <v>505</v>
      </c>
      <c r="C48" s="97" t="s">
        <v>865</v>
      </c>
      <c r="D48" s="223" t="s">
        <v>1144</v>
      </c>
      <c r="E48" s="98" t="s">
        <v>1130</v>
      </c>
      <c r="F48" s="96" t="s">
        <v>1084</v>
      </c>
      <c r="G48" s="175">
        <v>0.3</v>
      </c>
      <c r="H48" s="175">
        <v>7.0000000000000007E-2</v>
      </c>
      <c r="I48" s="175">
        <v>0.31</v>
      </c>
      <c r="J48" s="175">
        <v>0.91</v>
      </c>
      <c r="K48" s="175">
        <v>3.36</v>
      </c>
      <c r="L48" s="175">
        <v>0.22</v>
      </c>
      <c r="M48" s="175">
        <v>0.15</v>
      </c>
      <c r="N48" s="175">
        <v>0.15</v>
      </c>
      <c r="O48" s="175">
        <v>0.28000000000000003</v>
      </c>
      <c r="P48" s="175">
        <v>0.83</v>
      </c>
      <c r="Q48" s="175">
        <v>0.21</v>
      </c>
      <c r="R48" s="175">
        <v>0.41</v>
      </c>
      <c r="S48" s="100">
        <f t="shared" si="2"/>
        <v>7.2</v>
      </c>
      <c r="U48" s="89">
        <v>8.5500000000000007</v>
      </c>
    </row>
    <row r="49" spans="1:26" ht="14.4" x14ac:dyDescent="0.3">
      <c r="A49" t="s">
        <v>841</v>
      </c>
      <c r="B49" s="96" t="s">
        <v>505</v>
      </c>
      <c r="C49" s="97" t="s">
        <v>865</v>
      </c>
      <c r="D49" s="223" t="s">
        <v>1146</v>
      </c>
      <c r="E49" s="98" t="s">
        <v>1130</v>
      </c>
      <c r="F49" s="96" t="s">
        <v>1084</v>
      </c>
      <c r="G49" s="175">
        <v>0.28999999999999998</v>
      </c>
      <c r="H49" s="175">
        <v>0.35</v>
      </c>
      <c r="I49" s="175">
        <v>0.33</v>
      </c>
      <c r="J49" s="175">
        <v>0.78</v>
      </c>
      <c r="K49" s="175">
        <v>2.0699999999999998</v>
      </c>
      <c r="L49" s="175">
        <v>0.48</v>
      </c>
      <c r="M49" s="175">
        <v>0.28000000000000003</v>
      </c>
      <c r="N49" s="175">
        <v>0.28000000000000003</v>
      </c>
      <c r="O49" s="175">
        <v>0.51</v>
      </c>
      <c r="P49" s="175">
        <v>0.63</v>
      </c>
      <c r="Q49" s="175">
        <v>0.44</v>
      </c>
      <c r="R49" s="175">
        <v>0.62</v>
      </c>
      <c r="S49" s="100">
        <f t="shared" si="2"/>
        <v>7.0600000000000005</v>
      </c>
      <c r="U49" s="89">
        <v>13.200000000000005</v>
      </c>
    </row>
    <row r="50" spans="1:26" hidden="1" x14ac:dyDescent="0.3">
      <c r="A50" s="96" t="s">
        <v>839</v>
      </c>
      <c r="B50" s="96" t="s">
        <v>505</v>
      </c>
      <c r="C50" s="97" t="s">
        <v>865</v>
      </c>
      <c r="D50" s="223" t="s">
        <v>1143</v>
      </c>
      <c r="E50" s="98" t="s">
        <v>1130</v>
      </c>
      <c r="F50" s="96" t="s">
        <v>1084</v>
      </c>
      <c r="G50" s="176">
        <v>2.9000000000000001E-2</v>
      </c>
      <c r="H50" s="176">
        <v>2.9000000000000001E-2</v>
      </c>
      <c r="I50" s="176">
        <v>2.9000000000000001E-2</v>
      </c>
      <c r="J50" s="176">
        <v>2.9000000000000001E-2</v>
      </c>
      <c r="K50" s="176">
        <v>2.9000000000000001E-2</v>
      </c>
      <c r="L50" s="176">
        <v>2.9000000000000001E-2</v>
      </c>
      <c r="M50" s="176">
        <v>2.9000000000000001E-2</v>
      </c>
      <c r="N50" s="176">
        <v>2.9000000000000001E-2</v>
      </c>
      <c r="O50" s="176">
        <v>2.9000000000000001E-2</v>
      </c>
      <c r="P50" s="176">
        <v>2.9000000000000001E-2</v>
      </c>
      <c r="Q50" s="176">
        <v>2.9000000000000001E-2</v>
      </c>
      <c r="R50" s="176">
        <v>2.9000000000000001E-2</v>
      </c>
      <c r="S50" s="94">
        <f t="shared" si="2"/>
        <v>0.34800000000000009</v>
      </c>
      <c r="U50" s="89">
        <v>0.44399999999999989</v>
      </c>
    </row>
    <row r="51" spans="1:26" hidden="1" x14ac:dyDescent="0.3">
      <c r="A51" s="96" t="s">
        <v>839</v>
      </c>
      <c r="B51" s="96" t="s">
        <v>505</v>
      </c>
      <c r="C51" s="97" t="s">
        <v>865</v>
      </c>
      <c r="D51" s="223" t="s">
        <v>1144</v>
      </c>
      <c r="E51" s="98" t="s">
        <v>1130</v>
      </c>
      <c r="F51" s="96" t="s">
        <v>1084</v>
      </c>
      <c r="G51" s="176">
        <v>7.5999999999999998E-2</v>
      </c>
      <c r="H51" s="176">
        <v>7.5999999999999998E-2</v>
      </c>
      <c r="I51" s="176">
        <v>7.5999999999999998E-2</v>
      </c>
      <c r="J51" s="176">
        <v>7.5999999999999998E-2</v>
      </c>
      <c r="K51" s="176">
        <v>7.5999999999999998E-2</v>
      </c>
      <c r="L51" s="176">
        <v>7.5999999999999998E-2</v>
      </c>
      <c r="M51" s="176">
        <v>7.5999999999999998E-2</v>
      </c>
      <c r="N51" s="176">
        <v>7.5999999999999998E-2</v>
      </c>
      <c r="O51" s="176">
        <v>7.5999999999999998E-2</v>
      </c>
      <c r="P51" s="176">
        <v>7.5999999999999998E-2</v>
      </c>
      <c r="Q51" s="176">
        <v>7.5999999999999998E-2</v>
      </c>
      <c r="R51" s="176">
        <v>7.5999999999999998E-2</v>
      </c>
      <c r="S51" s="94">
        <f t="shared" si="2"/>
        <v>0.91199999999999981</v>
      </c>
      <c r="U51" s="89">
        <v>0.15600000000000003</v>
      </c>
    </row>
    <row r="52" spans="1:26" ht="27.6" x14ac:dyDescent="0.3">
      <c r="A52" s="96" t="s">
        <v>839</v>
      </c>
      <c r="B52" s="96" t="s">
        <v>505</v>
      </c>
      <c r="C52" s="97" t="s">
        <v>865</v>
      </c>
      <c r="D52" s="223" t="s">
        <v>1146</v>
      </c>
      <c r="E52" s="98" t="s">
        <v>1130</v>
      </c>
      <c r="F52" s="96" t="s">
        <v>1084</v>
      </c>
      <c r="G52" s="176">
        <v>5.5E-2</v>
      </c>
      <c r="H52" s="176">
        <v>5.5E-2</v>
      </c>
      <c r="I52" s="176">
        <v>5.5E-2</v>
      </c>
      <c r="J52" s="176">
        <v>5.5E-2</v>
      </c>
      <c r="K52" s="176">
        <v>5.5E-2</v>
      </c>
      <c r="L52" s="176">
        <v>5.5E-2</v>
      </c>
      <c r="M52" s="176">
        <v>5.5E-2</v>
      </c>
      <c r="N52" s="176">
        <v>5.5E-2</v>
      </c>
      <c r="O52" s="176">
        <v>5.5E-2</v>
      </c>
      <c r="P52" s="176">
        <v>5.5E-2</v>
      </c>
      <c r="Q52" s="176">
        <v>5.5E-2</v>
      </c>
      <c r="R52" s="176">
        <v>5.5E-2</v>
      </c>
      <c r="S52" s="94">
        <f t="shared" si="2"/>
        <v>0.66000000000000014</v>
      </c>
      <c r="U52" s="89">
        <v>0</v>
      </c>
      <c r="V52" s="89" t="s">
        <v>1147</v>
      </c>
    </row>
    <row r="53" spans="1:26" hidden="1" x14ac:dyDescent="0.3">
      <c r="A53" s="96" t="s">
        <v>514</v>
      </c>
      <c r="B53" s="96" t="s">
        <v>505</v>
      </c>
      <c r="C53" s="97" t="s">
        <v>865</v>
      </c>
      <c r="D53" s="223" t="s">
        <v>1143</v>
      </c>
      <c r="E53" s="98" t="s">
        <v>1130</v>
      </c>
      <c r="F53" s="96" t="s">
        <v>1084</v>
      </c>
      <c r="G53" s="176">
        <v>2.4E-2</v>
      </c>
      <c r="H53" s="176">
        <v>2.4E-2</v>
      </c>
      <c r="I53" s="176">
        <v>2.4E-2</v>
      </c>
      <c r="J53" s="176">
        <v>2.4E-2</v>
      </c>
      <c r="K53" s="176">
        <v>2.4E-2</v>
      </c>
      <c r="L53" s="176">
        <v>2.4E-2</v>
      </c>
      <c r="M53" s="176">
        <v>2.4E-2</v>
      </c>
      <c r="N53" s="176">
        <v>2.4E-2</v>
      </c>
      <c r="O53" s="176">
        <v>2.4E-2</v>
      </c>
      <c r="P53" s="176">
        <v>2.4E-2</v>
      </c>
      <c r="Q53" s="176">
        <v>2.4E-2</v>
      </c>
      <c r="R53" s="176">
        <v>2.4E-2</v>
      </c>
      <c r="S53" s="94">
        <f t="shared" si="2"/>
        <v>0.28799999999999998</v>
      </c>
      <c r="U53" s="89">
        <v>0.31200000000000006</v>
      </c>
    </row>
    <row r="54" spans="1:26" hidden="1" x14ac:dyDescent="0.3">
      <c r="A54" s="96" t="s">
        <v>514</v>
      </c>
      <c r="B54" s="96" t="s">
        <v>505</v>
      </c>
      <c r="C54" s="97" t="s">
        <v>865</v>
      </c>
      <c r="D54" s="223" t="s">
        <v>1144</v>
      </c>
      <c r="E54" s="98" t="s">
        <v>1130</v>
      </c>
      <c r="F54" s="96" t="s">
        <v>1084</v>
      </c>
      <c r="G54" s="176">
        <v>6.3E-2</v>
      </c>
      <c r="H54" s="176">
        <v>6.3E-2</v>
      </c>
      <c r="I54" s="176">
        <v>6.3E-2</v>
      </c>
      <c r="J54" s="176">
        <v>6.3E-2</v>
      </c>
      <c r="K54" s="176">
        <v>6.3E-2</v>
      </c>
      <c r="L54" s="176">
        <v>6.3E-2</v>
      </c>
      <c r="M54" s="176">
        <v>6.3E-2</v>
      </c>
      <c r="N54" s="176">
        <v>6.3E-2</v>
      </c>
      <c r="O54" s="176">
        <v>6.3E-2</v>
      </c>
      <c r="P54" s="176">
        <v>6.3E-2</v>
      </c>
      <c r="Q54" s="176">
        <v>6.3E-2</v>
      </c>
      <c r="R54" s="176">
        <v>6.3E-2</v>
      </c>
      <c r="S54" s="94">
        <f t="shared" si="2"/>
        <v>0.75599999999999978</v>
      </c>
      <c r="U54" s="89">
        <v>0.10799999999999997</v>
      </c>
    </row>
    <row r="55" spans="1:26" x14ac:dyDescent="0.3">
      <c r="A55" s="96" t="s">
        <v>514</v>
      </c>
      <c r="B55" s="96" t="s">
        <v>505</v>
      </c>
      <c r="C55" s="97" t="s">
        <v>865</v>
      </c>
      <c r="D55" s="223" t="s">
        <v>1146</v>
      </c>
      <c r="E55" s="98" t="s">
        <v>1130</v>
      </c>
      <c r="F55" s="96" t="s">
        <v>1084</v>
      </c>
      <c r="G55" s="176">
        <v>4.4999999999999998E-2</v>
      </c>
      <c r="H55" s="176">
        <v>4.4999999999999998E-2</v>
      </c>
      <c r="I55" s="176">
        <v>4.4999999999999998E-2</v>
      </c>
      <c r="J55" s="176">
        <v>4.4999999999999998E-2</v>
      </c>
      <c r="K55" s="176">
        <v>4.4999999999999998E-2</v>
      </c>
      <c r="L55" s="176">
        <v>4.4999999999999998E-2</v>
      </c>
      <c r="M55" s="176">
        <v>4.4999999999999998E-2</v>
      </c>
      <c r="N55" s="176">
        <v>4.4999999999999998E-2</v>
      </c>
      <c r="O55" s="176">
        <v>4.4999999999999998E-2</v>
      </c>
      <c r="P55" s="176">
        <v>4.4999999999999998E-2</v>
      </c>
      <c r="Q55" s="176">
        <v>4.4999999999999998E-2</v>
      </c>
      <c r="R55" s="176">
        <v>4.4999999999999998E-2</v>
      </c>
      <c r="S55" s="94">
        <f t="shared" si="2"/>
        <v>0.53999999999999992</v>
      </c>
      <c r="U55" s="89">
        <v>0</v>
      </c>
    </row>
    <row r="56" spans="1:26" hidden="1" x14ac:dyDescent="0.3">
      <c r="A56" s="96" t="s">
        <v>837</v>
      </c>
      <c r="B56" s="96" t="s">
        <v>364</v>
      </c>
      <c r="C56" s="97" t="s">
        <v>871</v>
      </c>
      <c r="D56" s="223" t="s">
        <v>1143</v>
      </c>
      <c r="E56" s="98" t="s">
        <v>1130</v>
      </c>
      <c r="F56" s="96" t="s">
        <v>1084</v>
      </c>
      <c r="G56" s="175">
        <v>0.90800000000000003</v>
      </c>
      <c r="H56" s="175">
        <v>0.98199999999999998</v>
      </c>
      <c r="I56" s="175">
        <v>0.45400000000000001</v>
      </c>
      <c r="J56" s="175">
        <v>0.63400000000000001</v>
      </c>
      <c r="K56" s="175">
        <v>0.54200000000000004</v>
      </c>
      <c r="L56" s="175">
        <v>0.61599999999999999</v>
      </c>
      <c r="M56" s="175">
        <v>0.51500000000000001</v>
      </c>
      <c r="N56" s="175">
        <v>0.67700000000000005</v>
      </c>
      <c r="O56" s="175">
        <v>0.55500000000000005</v>
      </c>
      <c r="P56" s="175">
        <v>0.63</v>
      </c>
      <c r="Q56" s="175">
        <v>0.55000000000000004</v>
      </c>
      <c r="R56" s="175">
        <v>0.45500000000000002</v>
      </c>
      <c r="S56" s="100">
        <f t="shared" ref="S56:S58" si="3">SUM(G56:R56)</f>
        <v>7.5179999999999989</v>
      </c>
      <c r="U56" s="89">
        <v>9.0980000000000008</v>
      </c>
      <c r="W56" s="225">
        <f>(TblWaste[[#This Row],[2024 Total]]+S57)/(TblWaste[[#This Row],[2024 Total]]+S57+S58)</f>
        <v>0.35570182312072296</v>
      </c>
    </row>
    <row r="57" spans="1:26" hidden="1" x14ac:dyDescent="0.3">
      <c r="A57" s="96" t="s">
        <v>837</v>
      </c>
      <c r="B57" s="96" t="s">
        <v>364</v>
      </c>
      <c r="C57" s="97" t="s">
        <v>871</v>
      </c>
      <c r="D57" s="223" t="s">
        <v>1144</v>
      </c>
      <c r="E57" s="98" t="s">
        <v>1130</v>
      </c>
      <c r="F57" s="96" t="s">
        <v>1084</v>
      </c>
      <c r="G57" s="175">
        <v>2.13</v>
      </c>
      <c r="H57" s="175">
        <v>2.2250000000000001</v>
      </c>
      <c r="I57" s="175">
        <v>1.9159999999999999</v>
      </c>
      <c r="J57" s="175">
        <v>2.4550000000000001</v>
      </c>
      <c r="K57" s="175">
        <v>2.1459999999999999</v>
      </c>
      <c r="L57" s="175">
        <v>1.587</v>
      </c>
      <c r="M57" s="175">
        <v>1.827</v>
      </c>
      <c r="N57" s="175">
        <v>1.871</v>
      </c>
      <c r="O57" s="175">
        <v>2.7090000000000001</v>
      </c>
      <c r="P57" s="175">
        <v>3.4119999999999999</v>
      </c>
      <c r="Q57" s="175">
        <v>2.0489999999999999</v>
      </c>
      <c r="R57" s="175">
        <v>2.2010000000000001</v>
      </c>
      <c r="S57" s="100">
        <f t="shared" si="3"/>
        <v>26.527999999999999</v>
      </c>
      <c r="U57" s="89">
        <v>27.588999999999999</v>
      </c>
    </row>
    <row r="58" spans="1:26" x14ac:dyDescent="0.3">
      <c r="A58" s="96" t="s">
        <v>837</v>
      </c>
      <c r="B58" s="96" t="s">
        <v>364</v>
      </c>
      <c r="C58" s="97" t="s">
        <v>871</v>
      </c>
      <c r="D58" s="223" t="s">
        <v>1146</v>
      </c>
      <c r="E58" s="98" t="s">
        <v>1130</v>
      </c>
      <c r="F58" s="96" t="s">
        <v>1084</v>
      </c>
      <c r="G58" s="175">
        <v>5.7549999999999999</v>
      </c>
      <c r="H58" s="175">
        <v>4.9429999999999996</v>
      </c>
      <c r="I58" s="175">
        <v>5.4880000000000004</v>
      </c>
      <c r="J58" s="175">
        <v>4.4420000000000002</v>
      </c>
      <c r="K58" s="175">
        <v>5.6680000000000001</v>
      </c>
      <c r="L58" s="175">
        <v>4.8860000000000001</v>
      </c>
      <c r="M58" s="175">
        <v>5.7759999999999998</v>
      </c>
      <c r="N58" s="175">
        <v>4.5090000000000003</v>
      </c>
      <c r="O58" s="175">
        <v>4.0620000000000003</v>
      </c>
      <c r="P58" s="175">
        <v>5.1440000000000001</v>
      </c>
      <c r="Q58" s="175">
        <v>5.2460000000000004</v>
      </c>
      <c r="R58" s="175">
        <v>5.75</v>
      </c>
      <c r="S58" s="100">
        <f t="shared" si="3"/>
        <v>61.668999999999997</v>
      </c>
      <c r="U58" s="89">
        <v>66.596000000000018</v>
      </c>
    </row>
    <row r="59" spans="1:26" hidden="1" x14ac:dyDescent="0.3">
      <c r="A59" s="605" t="s">
        <v>518</v>
      </c>
      <c r="B59" s="605"/>
      <c r="C59" s="606"/>
      <c r="D59" s="607" t="s">
        <v>1148</v>
      </c>
      <c r="E59" s="608"/>
      <c r="F59" s="96" t="s">
        <v>1084</v>
      </c>
      <c r="G59" s="609"/>
      <c r="H59" s="609"/>
      <c r="I59" s="609"/>
      <c r="J59" s="609"/>
      <c r="K59" s="609"/>
      <c r="L59" s="609"/>
      <c r="M59" s="609"/>
      <c r="N59" s="609"/>
      <c r="O59" s="609"/>
      <c r="P59" s="609"/>
      <c r="Q59" s="609"/>
      <c r="R59" s="609"/>
      <c r="S59" s="610">
        <v>477.92399999999998</v>
      </c>
      <c r="T59" s="604"/>
      <c r="U59" s="604"/>
      <c r="V59" s="604"/>
      <c r="W59" s="604" t="e">
        <f>(#REF!+S59)/(#REF!+S59+S61)</f>
        <v>#REF!</v>
      </c>
    </row>
    <row r="60" spans="1:26" hidden="1" x14ac:dyDescent="0.3">
      <c r="A60" s="600"/>
      <c r="B60" s="600"/>
      <c r="C60" s="601"/>
      <c r="D60" s="602"/>
      <c r="E60" s="603"/>
      <c r="F60" s="600"/>
      <c r="S60" s="599"/>
      <c r="T60" s="604"/>
      <c r="U60" s="604"/>
      <c r="V60" s="604"/>
      <c r="W60" s="604">
        <f>(S59+S61)/(S59+S61+S62)</f>
        <v>1</v>
      </c>
    </row>
    <row r="62" spans="1:26" x14ac:dyDescent="0.3">
      <c r="X62" s="223" t="s">
        <v>1143</v>
      </c>
      <c r="Y62" s="223" t="s">
        <v>1144</v>
      </c>
      <c r="Z62" s="595" t="s">
        <v>1146</v>
      </c>
    </row>
    <row r="63" spans="1:26" x14ac:dyDescent="0.3">
      <c r="U63" s="258" t="s">
        <v>497</v>
      </c>
      <c r="V63" s="258" t="s">
        <v>364</v>
      </c>
      <c r="W63" s="259" t="s">
        <v>865</v>
      </c>
      <c r="X63" s="89">
        <v>3.6189999999999998</v>
      </c>
      <c r="Y63" s="89">
        <v>13.048999999999999</v>
      </c>
      <c r="Z63" s="89">
        <v>14.394000000000002</v>
      </c>
    </row>
    <row r="64" spans="1:26" x14ac:dyDescent="0.3">
      <c r="U64" s="96" t="s">
        <v>499</v>
      </c>
      <c r="V64" s="96" t="s">
        <v>364</v>
      </c>
      <c r="W64" s="97" t="s">
        <v>865</v>
      </c>
      <c r="X64" s="89">
        <v>3.0949999999999998</v>
      </c>
      <c r="Y64" s="89">
        <v>2.5619999999999998</v>
      </c>
      <c r="Z64" s="89">
        <v>3.2490000000000001</v>
      </c>
    </row>
    <row r="65" spans="21:27" x14ac:dyDescent="0.3">
      <c r="U65" s="258" t="s">
        <v>463</v>
      </c>
      <c r="V65" s="258" t="s">
        <v>364</v>
      </c>
      <c r="W65" s="259" t="s">
        <v>865</v>
      </c>
      <c r="X65" s="89">
        <v>8.4000000000000019E-2</v>
      </c>
      <c r="Y65" s="89">
        <v>0.3</v>
      </c>
      <c r="Z65" s="89">
        <v>0.22799999999999995</v>
      </c>
    </row>
    <row r="66" spans="21:27" x14ac:dyDescent="0.3">
      <c r="U66" s="96" t="s">
        <v>517</v>
      </c>
      <c r="V66" s="96" t="s">
        <v>505</v>
      </c>
      <c r="W66" s="97" t="s">
        <v>871</v>
      </c>
      <c r="X66" s="89">
        <v>0.49199999999999994</v>
      </c>
      <c r="Y66" s="89">
        <v>2.52</v>
      </c>
      <c r="Z66" s="89">
        <v>3.2519999999999993</v>
      </c>
    </row>
    <row r="67" spans="21:27" x14ac:dyDescent="0.3">
      <c r="U67" s="258" t="s">
        <v>460</v>
      </c>
      <c r="V67" s="258" t="s">
        <v>364</v>
      </c>
      <c r="W67" s="259" t="s">
        <v>865</v>
      </c>
      <c r="X67" s="89">
        <v>1.819</v>
      </c>
      <c r="Y67" s="89">
        <v>4.8049999999999997</v>
      </c>
      <c r="Z67" s="89">
        <v>3.6540000000000004</v>
      </c>
      <c r="AA67" s="615">
        <f>SUM(X67:Z67)</f>
        <v>10.278</v>
      </c>
    </row>
    <row r="68" spans="21:27" x14ac:dyDescent="0.3">
      <c r="U68" s="96" t="s">
        <v>1094</v>
      </c>
      <c r="V68" s="96" t="s">
        <v>364</v>
      </c>
      <c r="W68" s="97" t="s">
        <v>865</v>
      </c>
      <c r="X68" s="89">
        <v>2.4319999999999999</v>
      </c>
      <c r="Y68" s="89">
        <v>20.908000000000001</v>
      </c>
      <c r="Z68" s="89">
        <v>5.8880000000000017</v>
      </c>
    </row>
    <row r="69" spans="21:27" x14ac:dyDescent="0.3">
      <c r="U69" s="258" t="s">
        <v>1095</v>
      </c>
      <c r="V69" s="258" t="s">
        <v>364</v>
      </c>
      <c r="W69" s="259" t="s">
        <v>865</v>
      </c>
      <c r="X69" s="89">
        <v>2.4050000000000002</v>
      </c>
      <c r="Y69" s="89">
        <v>3.3269999999999995</v>
      </c>
      <c r="Z69" s="89">
        <v>4.3250000000000002</v>
      </c>
    </row>
    <row r="70" spans="21:27" x14ac:dyDescent="0.3">
      <c r="U70" s="96" t="s">
        <v>456</v>
      </c>
      <c r="V70" s="96" t="s">
        <v>364</v>
      </c>
      <c r="W70" s="97" t="s">
        <v>871</v>
      </c>
      <c r="X70" s="89">
        <v>2.8580000000000005</v>
      </c>
      <c r="Y70" s="89">
        <v>16.673000000000002</v>
      </c>
      <c r="Z70" s="89">
        <v>24.027999999999999</v>
      </c>
    </row>
    <row r="71" spans="21:27" x14ac:dyDescent="0.3">
      <c r="U71" s="258" t="s">
        <v>461</v>
      </c>
      <c r="V71" s="258" t="s">
        <v>364</v>
      </c>
      <c r="W71" s="259" t="s">
        <v>865</v>
      </c>
      <c r="X71" s="89">
        <v>2.532</v>
      </c>
      <c r="Y71" s="89">
        <v>4.4620000000000006</v>
      </c>
      <c r="Z71" s="89">
        <v>6.9509999999999996</v>
      </c>
    </row>
    <row r="72" spans="21:27" x14ac:dyDescent="0.3">
      <c r="U72" s="96" t="s">
        <v>462</v>
      </c>
      <c r="V72" s="96" t="s">
        <v>364</v>
      </c>
      <c r="W72" s="97" t="s">
        <v>865</v>
      </c>
      <c r="X72" s="89">
        <v>1.3220000000000001</v>
      </c>
      <c r="Y72" s="89">
        <v>12.139999999999999</v>
      </c>
      <c r="Z72" s="89">
        <v>1.7129999999999999</v>
      </c>
    </row>
    <row r="73" spans="21:27" x14ac:dyDescent="0.3">
      <c r="U73" s="258" t="s">
        <v>459</v>
      </c>
      <c r="V73" s="258" t="s">
        <v>364</v>
      </c>
      <c r="W73" s="259" t="s">
        <v>865</v>
      </c>
      <c r="X73" s="89">
        <v>3.2210000000000001</v>
      </c>
      <c r="Y73" s="89">
        <v>5.7640000000000002</v>
      </c>
      <c r="Z73" s="89">
        <v>9.7419999999999991</v>
      </c>
    </row>
    <row r="74" spans="21:27" x14ac:dyDescent="0.3">
      <c r="U74" s="179" t="s">
        <v>836</v>
      </c>
      <c r="V74" s="96" t="s">
        <v>505</v>
      </c>
      <c r="W74" s="97" t="s">
        <v>871</v>
      </c>
      <c r="X74" s="89">
        <v>0</v>
      </c>
      <c r="Y74" s="89">
        <v>1.071</v>
      </c>
      <c r="Z74" s="89">
        <v>1.6030000000000002</v>
      </c>
    </row>
    <row r="75" spans="21:27" ht="14.4" x14ac:dyDescent="0.3">
      <c r="U75" s="614" t="s">
        <v>841</v>
      </c>
      <c r="V75" s="258" t="s">
        <v>505</v>
      </c>
      <c r="W75" s="259" t="s">
        <v>865</v>
      </c>
      <c r="X75" s="89">
        <v>6.77</v>
      </c>
      <c r="Y75" s="89">
        <v>7.2</v>
      </c>
      <c r="Z75" s="89">
        <v>7.0600000000000005</v>
      </c>
    </row>
    <row r="76" spans="21:27" x14ac:dyDescent="0.3">
      <c r="U76" s="96" t="s">
        <v>839</v>
      </c>
      <c r="V76" s="96" t="s">
        <v>505</v>
      </c>
      <c r="W76" s="97" t="s">
        <v>865</v>
      </c>
      <c r="X76" s="89">
        <v>0.34800000000000009</v>
      </c>
      <c r="Y76" s="89">
        <v>0.91199999999999981</v>
      </c>
      <c r="Z76" s="89">
        <v>0.66000000000000014</v>
      </c>
    </row>
    <row r="77" spans="21:27" x14ac:dyDescent="0.3">
      <c r="U77" s="258" t="s">
        <v>514</v>
      </c>
      <c r="V77" s="258" t="s">
        <v>505</v>
      </c>
      <c r="W77" s="259" t="s">
        <v>865</v>
      </c>
      <c r="X77" s="89">
        <v>0.28799999999999998</v>
      </c>
      <c r="Y77" s="89">
        <v>0.75599999999999978</v>
      </c>
      <c r="Z77" s="89">
        <v>0.53999999999999992</v>
      </c>
    </row>
    <row r="78" spans="21:27" x14ac:dyDescent="0.3">
      <c r="U78" s="96" t="s">
        <v>837</v>
      </c>
      <c r="V78" s="96" t="s">
        <v>364</v>
      </c>
      <c r="W78" s="97" t="s">
        <v>871</v>
      </c>
      <c r="X78" s="89">
        <v>7.5179999999999989</v>
      </c>
      <c r="Y78" s="89">
        <v>26.527999999999999</v>
      </c>
      <c r="Z78" s="89">
        <v>61.668999999999997</v>
      </c>
    </row>
    <row r="79" spans="21:27" x14ac:dyDescent="0.3">
      <c r="U79" s="611" t="s">
        <v>518</v>
      </c>
      <c r="V79" s="611" t="s">
        <v>505</v>
      </c>
      <c r="W79" s="612"/>
      <c r="X79" s="89">
        <v>0</v>
      </c>
      <c r="Y79" s="89">
        <v>477.92399999999998</v>
      </c>
      <c r="Z79" s="89">
        <v>0</v>
      </c>
      <c r="AA79" s="616">
        <f>SUM(X79:Z79)</f>
        <v>477.92399999999998</v>
      </c>
    </row>
    <row r="80" spans="21:27" x14ac:dyDescent="0.3">
      <c r="X80" s="89">
        <f>SUM(X63:X79)</f>
        <v>38.802999999999997</v>
      </c>
      <c r="Y80" s="89">
        <f t="shared" ref="Y80:Z80" si="4">SUM(Y63:Y79)</f>
        <v>600.90099999999995</v>
      </c>
      <c r="Z80" s="89">
        <f t="shared" si="4"/>
        <v>148.95599999999999</v>
      </c>
      <c r="AA80" s="615">
        <f>SUM(X80:Z80)</f>
        <v>788.66</v>
      </c>
    </row>
    <row r="81" spans="24:26" x14ac:dyDescent="0.3">
      <c r="X81" s="225">
        <f>X80/$AA$80</f>
        <v>4.9201176679430934E-2</v>
      </c>
      <c r="Y81" s="225">
        <f t="shared" ref="Y81:Z81" si="5">Y80/$AA$80</f>
        <v>0.76192655897344863</v>
      </c>
      <c r="Z81" s="225">
        <f t="shared" si="5"/>
        <v>0.18887226434712043</v>
      </c>
    </row>
    <row r="82" spans="24:26" x14ac:dyDescent="0.3">
      <c r="X82" s="89" t="s">
        <v>1149</v>
      </c>
      <c r="Y82" s="89">
        <f>AA80</f>
        <v>788.66</v>
      </c>
    </row>
    <row r="83" spans="24:26" x14ac:dyDescent="0.3">
      <c r="X83" s="89" t="s">
        <v>1150</v>
      </c>
      <c r="Y83" s="89">
        <f>Y82-Y79</f>
        <v>310.73599999999999</v>
      </c>
      <c r="Z83" s="89" t="s">
        <v>1151</v>
      </c>
    </row>
    <row r="84" spans="24:26" x14ac:dyDescent="0.3">
      <c r="X84" s="89" t="s">
        <v>1152</v>
      </c>
      <c r="Y84" s="89">
        <f>AA80-(AA79+AA67)</f>
        <v>300.45799999999997</v>
      </c>
    </row>
    <row r="1048576" spans="3:3" x14ac:dyDescent="0.3">
      <c r="C1048576" s="97"/>
    </row>
  </sheetData>
  <mergeCells count="21">
    <mergeCell ref="A9:E9"/>
    <mergeCell ref="G9:H9"/>
    <mergeCell ref="I9:R9"/>
    <mergeCell ref="A7:E7"/>
    <mergeCell ref="G7:H7"/>
    <mergeCell ref="I7:R7"/>
    <mergeCell ref="A8:E8"/>
    <mergeCell ref="G8:H8"/>
    <mergeCell ref="I8:R8"/>
    <mergeCell ref="A5:E5"/>
    <mergeCell ref="G5:H5"/>
    <mergeCell ref="I5:R5"/>
    <mergeCell ref="A6:E6"/>
    <mergeCell ref="G6:H6"/>
    <mergeCell ref="I6:R6"/>
    <mergeCell ref="A1:R1"/>
    <mergeCell ref="A2:R2"/>
    <mergeCell ref="A3:R3"/>
    <mergeCell ref="A4:E4"/>
    <mergeCell ref="G4:H4"/>
    <mergeCell ref="I4:R4"/>
  </mergeCells>
  <phoneticPr fontId="3" type="noConversion"/>
  <pageMargins left="0.7" right="0.7" top="0.75" bottom="0.75" header="0.3" footer="0.3"/>
  <pageSetup paperSize="9" orientation="portrait" r:id="rId1"/>
  <headerFooter alignWithMargins="0"/>
  <tableParts count="1">
    <tablePart r:id="rId2"/>
  </tablePar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DC72-8688-4987-868E-AE71413A8CFF}">
  <dimension ref="A1:M85"/>
  <sheetViews>
    <sheetView topLeftCell="C50" workbookViewId="0">
      <selection activeCell="I68" sqref="I68"/>
    </sheetView>
  </sheetViews>
  <sheetFormatPr defaultRowHeight="14.4" x14ac:dyDescent="0.3"/>
  <cols>
    <col min="1" max="1" width="26.5546875" customWidth="1"/>
    <col min="2" max="2" width="22.44140625" customWidth="1"/>
    <col min="3" max="3" width="45.77734375" customWidth="1"/>
    <col min="4" max="4" width="23.88671875" customWidth="1"/>
    <col min="5" max="5" width="16.5546875" customWidth="1"/>
    <col min="6" max="6" width="38.77734375" customWidth="1"/>
    <col min="7" max="7" width="46.88671875" customWidth="1"/>
    <col min="8" max="8" width="14.77734375" bestFit="1" customWidth="1"/>
    <col min="9" max="9" width="14.88671875" customWidth="1"/>
    <col min="10" max="10" width="27.88671875" customWidth="1"/>
    <col min="11" max="11" width="24.88671875" customWidth="1"/>
    <col min="12" max="12" width="14.109375" customWidth="1"/>
  </cols>
  <sheetData>
    <row r="1" spans="1:13" x14ac:dyDescent="0.3">
      <c r="B1" t="s">
        <v>490</v>
      </c>
      <c r="C1" s="389" t="s">
        <v>1153</v>
      </c>
      <c r="D1" t="s">
        <v>1154</v>
      </c>
      <c r="E1" s="389" t="s">
        <v>959</v>
      </c>
      <c r="F1" s="389" t="s">
        <v>1155</v>
      </c>
      <c r="G1" t="s">
        <v>1156</v>
      </c>
      <c r="H1" s="389" t="s">
        <v>1157</v>
      </c>
    </row>
    <row r="2" spans="1:13" x14ac:dyDescent="0.3">
      <c r="A2" s="197" t="s">
        <v>453</v>
      </c>
      <c r="B2" s="197" t="s">
        <v>864</v>
      </c>
      <c r="C2" s="196">
        <v>242908.99199999997</v>
      </c>
      <c r="D2" s="499" t="s">
        <v>1158</v>
      </c>
      <c r="E2" t="s">
        <v>453</v>
      </c>
      <c r="F2">
        <v>264603.06866300153</v>
      </c>
      <c r="G2">
        <v>264603.06866300153</v>
      </c>
      <c r="H2" s="196">
        <f t="shared" ref="H2:H19" si="0">SUM(C2,F2)</f>
        <v>507512.0606630015</v>
      </c>
    </row>
    <row r="3" spans="1:13" x14ac:dyDescent="0.3">
      <c r="A3" s="197" t="s">
        <v>981</v>
      </c>
      <c r="B3" s="197" t="s">
        <v>1159</v>
      </c>
      <c r="C3" s="196">
        <v>1260185.6499999999</v>
      </c>
      <c r="D3" s="499">
        <v>1260185.7</v>
      </c>
      <c r="H3" s="196">
        <f t="shared" si="0"/>
        <v>1260185.6499999999</v>
      </c>
    </row>
    <row r="4" spans="1:13" x14ac:dyDescent="0.3">
      <c r="A4" s="197" t="s">
        <v>497</v>
      </c>
      <c r="B4" s="197" t="s">
        <v>864</v>
      </c>
      <c r="C4" s="196">
        <v>1005304.1</v>
      </c>
      <c r="D4" s="499">
        <v>1005304.1</v>
      </c>
      <c r="E4" t="s">
        <v>497</v>
      </c>
      <c r="F4">
        <v>438885.97397949209</v>
      </c>
      <c r="G4">
        <v>438885.97397949209</v>
      </c>
      <c r="H4" s="196">
        <f t="shared" si="0"/>
        <v>1444190.0739794921</v>
      </c>
      <c r="J4" t="s">
        <v>1160</v>
      </c>
      <c r="L4" s="196">
        <f>SUM(L5:L7)</f>
        <v>346826.56069124822</v>
      </c>
      <c r="M4" s="72">
        <f>L4/C21</f>
        <v>5.5610398227646553E-2</v>
      </c>
    </row>
    <row r="5" spans="1:13" x14ac:dyDescent="0.3">
      <c r="A5" s="197" t="s">
        <v>502</v>
      </c>
      <c r="B5" s="197" t="s">
        <v>864</v>
      </c>
      <c r="C5" s="196">
        <v>677781</v>
      </c>
      <c r="D5" s="499">
        <v>593631</v>
      </c>
      <c r="E5" t="s">
        <v>502</v>
      </c>
      <c r="F5">
        <v>197350.3015</v>
      </c>
      <c r="G5">
        <v>197350.3015</v>
      </c>
      <c r="H5" s="196">
        <f t="shared" si="0"/>
        <v>875131.30150000006</v>
      </c>
      <c r="J5" t="s">
        <v>1161</v>
      </c>
      <c r="K5" t="s">
        <v>1162</v>
      </c>
      <c r="L5" s="502">
        <v>23613</v>
      </c>
      <c r="M5" t="s">
        <v>35</v>
      </c>
    </row>
    <row r="6" spans="1:13" x14ac:dyDescent="0.3">
      <c r="A6" s="197" t="s">
        <v>499</v>
      </c>
      <c r="B6" s="197" t="s">
        <v>864</v>
      </c>
      <c r="C6" s="196">
        <v>437419</v>
      </c>
      <c r="D6" s="499" t="s">
        <v>1163</v>
      </c>
      <c r="E6" t="s">
        <v>499</v>
      </c>
      <c r="F6">
        <v>186524.31963028852</v>
      </c>
      <c r="G6">
        <v>186524.31963028852</v>
      </c>
      <c r="H6" s="196">
        <f t="shared" si="0"/>
        <v>623943.31963028852</v>
      </c>
      <c r="K6" s="501" t="s">
        <v>517</v>
      </c>
      <c r="L6" s="298">
        <v>41393.56069124824</v>
      </c>
      <c r="M6" t="s">
        <v>35</v>
      </c>
    </row>
    <row r="7" spans="1:13" x14ac:dyDescent="0.3">
      <c r="A7" s="197" t="s">
        <v>463</v>
      </c>
      <c r="B7" s="197" t="s">
        <v>864</v>
      </c>
      <c r="C7" s="196">
        <v>5526.85009765625</v>
      </c>
      <c r="D7" s="196">
        <v>5526.85009765625</v>
      </c>
      <c r="E7" t="s">
        <v>463</v>
      </c>
      <c r="F7">
        <v>6381.1996093750004</v>
      </c>
      <c r="G7">
        <v>6381.1996093750004</v>
      </c>
      <c r="H7" s="196">
        <f t="shared" si="0"/>
        <v>11908.04970703125</v>
      </c>
      <c r="K7" t="s">
        <v>1164</v>
      </c>
      <c r="L7">
        <v>281820</v>
      </c>
      <c r="M7" t="s">
        <v>35</v>
      </c>
    </row>
    <row r="8" spans="1:13" x14ac:dyDescent="0.3">
      <c r="A8" s="197" t="s">
        <v>460</v>
      </c>
      <c r="B8" s="197" t="s">
        <v>864</v>
      </c>
      <c r="C8" s="196">
        <v>38405</v>
      </c>
      <c r="E8" t="s">
        <v>460</v>
      </c>
      <c r="F8">
        <v>42868.798999999999</v>
      </c>
      <c r="G8">
        <v>42868.798999999999</v>
      </c>
      <c r="H8" s="196">
        <f t="shared" si="0"/>
        <v>81273.798999999999</v>
      </c>
    </row>
    <row r="9" spans="1:13" x14ac:dyDescent="0.3">
      <c r="A9" s="501" t="s">
        <v>456</v>
      </c>
      <c r="B9" s="501" t="s">
        <v>871</v>
      </c>
      <c r="C9" s="502">
        <v>123129</v>
      </c>
      <c r="D9" s="298">
        <v>123129</v>
      </c>
      <c r="E9" s="298" t="s">
        <v>456</v>
      </c>
      <c r="F9" s="248">
        <v>64614</v>
      </c>
      <c r="G9" s="248">
        <v>64614</v>
      </c>
      <c r="H9" s="696">
        <f>SUM(C9,F9)</f>
        <v>187743</v>
      </c>
    </row>
    <row r="10" spans="1:13" x14ac:dyDescent="0.3">
      <c r="A10" s="197" t="s">
        <v>518</v>
      </c>
      <c r="B10" s="500" t="s">
        <v>1159</v>
      </c>
      <c r="C10" s="196">
        <v>440690.63332999998</v>
      </c>
      <c r="H10" s="196">
        <f t="shared" si="0"/>
        <v>440690.63332999998</v>
      </c>
    </row>
    <row r="11" spans="1:13" x14ac:dyDescent="0.3">
      <c r="A11" s="197" t="s">
        <v>968</v>
      </c>
      <c r="B11" s="197" t="s">
        <v>871</v>
      </c>
      <c r="C11" s="196">
        <v>66482</v>
      </c>
      <c r="D11" s="196">
        <v>66482</v>
      </c>
      <c r="E11" t="s">
        <v>968</v>
      </c>
      <c r="F11">
        <v>7849.1999999999989</v>
      </c>
      <c r="G11">
        <v>7849.1999999999989</v>
      </c>
      <c r="H11" s="196">
        <f t="shared" si="0"/>
        <v>74331.199999999997</v>
      </c>
    </row>
    <row r="12" spans="1:13" x14ac:dyDescent="0.3">
      <c r="A12" s="197" t="s">
        <v>461</v>
      </c>
      <c r="B12" s="197" t="s">
        <v>864</v>
      </c>
      <c r="C12" s="196">
        <v>299426.46000000002</v>
      </c>
      <c r="D12" s="196">
        <v>299426.46000000002</v>
      </c>
      <c r="E12" t="s">
        <v>461</v>
      </c>
      <c r="F12">
        <v>298811.40011652326</v>
      </c>
      <c r="G12">
        <v>298811.40011652326</v>
      </c>
      <c r="H12" s="196">
        <f t="shared" si="0"/>
        <v>598237.86011652322</v>
      </c>
    </row>
    <row r="13" spans="1:13" x14ac:dyDescent="0.3">
      <c r="A13" s="197" t="s">
        <v>462</v>
      </c>
      <c r="B13" s="197" t="s">
        <v>864</v>
      </c>
      <c r="C13" s="196">
        <v>113098.84042358397</v>
      </c>
      <c r="D13" s="196">
        <v>113098.84042358397</v>
      </c>
      <c r="E13" t="s">
        <v>462</v>
      </c>
      <c r="F13">
        <v>249675.15970312501</v>
      </c>
      <c r="G13">
        <v>249675.15970312501</v>
      </c>
      <c r="H13" s="196">
        <f t="shared" si="0"/>
        <v>362774.000126709</v>
      </c>
    </row>
    <row r="14" spans="1:13" x14ac:dyDescent="0.3">
      <c r="A14" s="197" t="s">
        <v>515</v>
      </c>
      <c r="B14" s="500" t="s">
        <v>1159</v>
      </c>
      <c r="C14" s="196">
        <v>236288.07000000004</v>
      </c>
      <c r="H14" s="196">
        <f t="shared" si="0"/>
        <v>236288.07000000004</v>
      </c>
    </row>
    <row r="15" spans="1:13" x14ac:dyDescent="0.3">
      <c r="A15" s="501" t="s">
        <v>516</v>
      </c>
      <c r="B15" s="500" t="s">
        <v>1159</v>
      </c>
      <c r="C15" s="502">
        <v>23613</v>
      </c>
      <c r="H15" s="196">
        <f t="shared" si="0"/>
        <v>23613</v>
      </c>
    </row>
    <row r="16" spans="1:13" x14ac:dyDescent="0.3">
      <c r="A16" s="197" t="s">
        <v>839</v>
      </c>
      <c r="B16" s="500" t="s">
        <v>1159</v>
      </c>
      <c r="C16" s="196">
        <v>49949</v>
      </c>
      <c r="H16" s="196">
        <f t="shared" si="0"/>
        <v>49949</v>
      </c>
    </row>
    <row r="17" spans="1:8" x14ac:dyDescent="0.3">
      <c r="A17" s="197" t="s">
        <v>514</v>
      </c>
      <c r="B17" s="500" t="s">
        <v>1159</v>
      </c>
      <c r="C17" s="196">
        <v>119428.6335</v>
      </c>
      <c r="H17" s="196">
        <f t="shared" si="0"/>
        <v>119428.6335</v>
      </c>
    </row>
    <row r="18" spans="1:8" x14ac:dyDescent="0.3">
      <c r="A18" s="501" t="s">
        <v>500</v>
      </c>
      <c r="B18" s="197" t="s">
        <v>864</v>
      </c>
      <c r="C18" s="502">
        <f>483117.7 + 8933.91</f>
        <v>492051.61</v>
      </c>
      <c r="D18">
        <v>307589.3</v>
      </c>
      <c r="E18" t="s">
        <v>500</v>
      </c>
      <c r="F18">
        <v>886988.26248897449</v>
      </c>
      <c r="G18">
        <v>886988.26248897449</v>
      </c>
      <c r="H18" s="196">
        <f>SUM(C18,F18)</f>
        <v>1379039.8724889746</v>
      </c>
    </row>
    <row r="19" spans="1:8" x14ac:dyDescent="0.3">
      <c r="A19" s="197" t="s">
        <v>837</v>
      </c>
      <c r="B19" s="197" t="s">
        <v>871</v>
      </c>
      <c r="C19" s="196">
        <f>281820*2</f>
        <v>563640</v>
      </c>
      <c r="E19" t="s">
        <v>837</v>
      </c>
      <c r="F19">
        <v>117392</v>
      </c>
      <c r="G19">
        <v>117392</v>
      </c>
      <c r="H19" s="196">
        <f t="shared" si="0"/>
        <v>681032</v>
      </c>
    </row>
    <row r="20" spans="1:8" x14ac:dyDescent="0.3">
      <c r="A20" s="501" t="s">
        <v>517</v>
      </c>
      <c r="B20" s="500" t="s">
        <v>1159</v>
      </c>
      <c r="C20" s="298">
        <v>41393.56069124824</v>
      </c>
      <c r="H20" s="196">
        <v>41393.56069124824</v>
      </c>
    </row>
    <row r="21" spans="1:8" x14ac:dyDescent="0.3">
      <c r="A21" s="391" t="s">
        <v>1165</v>
      </c>
      <c r="B21" s="391"/>
      <c r="C21" s="392">
        <f>SUM(C2:C20)</f>
        <v>6236721.4000424901</v>
      </c>
      <c r="D21" s="392">
        <f>SUM(D2:D20)</f>
        <v>3774373.2505212398</v>
      </c>
      <c r="E21" s="392"/>
      <c r="F21" s="392">
        <f>SUM(F2:F20)</f>
        <v>2761943.68469078</v>
      </c>
      <c r="G21" s="392">
        <f>SUM(G2:G20)</f>
        <v>2761943.68469078</v>
      </c>
      <c r="H21" s="392">
        <f>SUM(H2:H20)</f>
        <v>8998665.0847332664</v>
      </c>
    </row>
    <row r="23" spans="1:8" ht="15" thickBot="1" x14ac:dyDescent="0.35">
      <c r="A23" s="393" t="s">
        <v>959</v>
      </c>
      <c r="B23" s="393"/>
      <c r="C23" s="394" t="s">
        <v>1166</v>
      </c>
      <c r="D23" s="394" t="s">
        <v>1167</v>
      </c>
      <c r="E23" s="394" t="s">
        <v>325</v>
      </c>
      <c r="F23" s="394" t="s">
        <v>975</v>
      </c>
      <c r="G23" s="394" t="s">
        <v>976</v>
      </c>
      <c r="H23" s="395" t="s">
        <v>977</v>
      </c>
    </row>
    <row r="24" spans="1:8" ht="15" thickTop="1" x14ac:dyDescent="0.3">
      <c r="A24" s="396" t="s">
        <v>497</v>
      </c>
      <c r="B24" s="396"/>
      <c r="C24" s="397" t="s">
        <v>1168</v>
      </c>
      <c r="D24" s="397" t="s">
        <v>1169</v>
      </c>
      <c r="E24" s="397" t="s">
        <v>1170</v>
      </c>
      <c r="F24" s="397">
        <v>3129.07</v>
      </c>
      <c r="G24" s="397">
        <v>3129.07</v>
      </c>
      <c r="H24" s="398">
        <v>0</v>
      </c>
    </row>
    <row r="25" spans="1:8" x14ac:dyDescent="0.3">
      <c r="A25" s="399" t="s">
        <v>497</v>
      </c>
      <c r="B25" s="399"/>
      <c r="C25" s="400" t="s">
        <v>1168</v>
      </c>
      <c r="D25" s="400" t="s">
        <v>1169</v>
      </c>
      <c r="E25" s="400" t="s">
        <v>1171</v>
      </c>
      <c r="F25" s="400">
        <v>2208.61</v>
      </c>
      <c r="G25" s="400">
        <v>2208.61</v>
      </c>
      <c r="H25" s="401">
        <v>0</v>
      </c>
    </row>
    <row r="26" spans="1:8" x14ac:dyDescent="0.3">
      <c r="A26" s="396" t="s">
        <v>497</v>
      </c>
      <c r="B26" s="396"/>
      <c r="C26" s="397" t="s">
        <v>1168</v>
      </c>
      <c r="D26" s="397" t="s">
        <v>1169</v>
      </c>
      <c r="E26" s="397" t="s">
        <v>1172</v>
      </c>
      <c r="F26" s="397">
        <v>2654.86</v>
      </c>
      <c r="G26" s="397">
        <v>2654.86</v>
      </c>
      <c r="H26" s="398">
        <v>0</v>
      </c>
    </row>
    <row r="27" spans="1:8" x14ac:dyDescent="0.3">
      <c r="A27" s="399" t="s">
        <v>497</v>
      </c>
      <c r="B27" s="399"/>
      <c r="C27" s="400" t="s">
        <v>1168</v>
      </c>
      <c r="D27" s="400" t="s">
        <v>1169</v>
      </c>
      <c r="E27" s="400" t="s">
        <v>1173</v>
      </c>
      <c r="F27" s="400">
        <v>2501.08</v>
      </c>
      <c r="G27" s="400">
        <v>2501.08</v>
      </c>
      <c r="H27" s="401">
        <v>0</v>
      </c>
    </row>
    <row r="28" spans="1:8" x14ac:dyDescent="0.3">
      <c r="A28" s="396" t="s">
        <v>497</v>
      </c>
      <c r="B28" s="396"/>
      <c r="C28" s="397" t="s">
        <v>1168</v>
      </c>
      <c r="D28" s="397" t="s">
        <v>1169</v>
      </c>
      <c r="E28" s="397" t="s">
        <v>1174</v>
      </c>
      <c r="F28" s="397">
        <v>2532.39</v>
      </c>
      <c r="G28" s="397">
        <v>2532.39</v>
      </c>
      <c r="H28" s="398">
        <v>0</v>
      </c>
    </row>
    <row r="29" spans="1:8" x14ac:dyDescent="0.3">
      <c r="A29" s="399" t="s">
        <v>497</v>
      </c>
      <c r="B29" s="399"/>
      <c r="C29" s="400" t="s">
        <v>1168</v>
      </c>
      <c r="D29" s="400" t="s">
        <v>1169</v>
      </c>
      <c r="E29" s="400" t="s">
        <v>1175</v>
      </c>
      <c r="F29" s="400">
        <v>2386.75</v>
      </c>
      <c r="G29" s="400">
        <v>2386.75</v>
      </c>
      <c r="H29" s="401">
        <v>0</v>
      </c>
    </row>
    <row r="30" spans="1:8" x14ac:dyDescent="0.3">
      <c r="A30" s="396" t="s">
        <v>497</v>
      </c>
      <c r="B30" s="396"/>
      <c r="C30" s="397" t="s">
        <v>1168</v>
      </c>
      <c r="D30" s="397" t="s">
        <v>1169</v>
      </c>
      <c r="E30" s="400" t="s">
        <v>1176</v>
      </c>
      <c r="F30" s="397">
        <v>2652.78</v>
      </c>
      <c r="G30" s="397">
        <v>2652.78</v>
      </c>
      <c r="H30" s="398">
        <v>0</v>
      </c>
    </row>
    <row r="31" spans="1:8" x14ac:dyDescent="0.3">
      <c r="A31" s="399" t="s">
        <v>497</v>
      </c>
      <c r="B31" s="399"/>
      <c r="C31" s="400" t="s">
        <v>1168</v>
      </c>
      <c r="D31" s="400" t="s">
        <v>1169</v>
      </c>
      <c r="E31" s="400" t="s">
        <v>1177</v>
      </c>
      <c r="F31" s="400">
        <v>2197.25</v>
      </c>
      <c r="G31" s="400">
        <v>2197.25</v>
      </c>
      <c r="H31" s="401">
        <v>0</v>
      </c>
    </row>
    <row r="32" spans="1:8" x14ac:dyDescent="0.3">
      <c r="A32" s="396" t="s">
        <v>497</v>
      </c>
      <c r="B32" s="396"/>
      <c r="C32" s="397" t="s">
        <v>1168</v>
      </c>
      <c r="D32" s="397" t="s">
        <v>1169</v>
      </c>
      <c r="E32" s="400" t="s">
        <v>1178</v>
      </c>
      <c r="F32" s="397">
        <v>2543.2600000000002</v>
      </c>
      <c r="G32" s="397">
        <v>2543.2600000000002</v>
      </c>
      <c r="H32" s="398">
        <v>0</v>
      </c>
    </row>
    <row r="33" spans="1:12" x14ac:dyDescent="0.3">
      <c r="A33" s="399" t="s">
        <v>497</v>
      </c>
      <c r="B33" s="399"/>
      <c r="C33" s="400" t="s">
        <v>1168</v>
      </c>
      <c r="D33" s="400" t="s">
        <v>1169</v>
      </c>
      <c r="E33" s="400" t="s">
        <v>1179</v>
      </c>
      <c r="F33" s="400">
        <v>2456.75</v>
      </c>
      <c r="G33" s="400">
        <v>2456.75</v>
      </c>
      <c r="H33" s="401">
        <v>0</v>
      </c>
    </row>
    <row r="34" spans="1:12" x14ac:dyDescent="0.3">
      <c r="A34" s="396" t="s">
        <v>497</v>
      </c>
      <c r="B34" s="396"/>
      <c r="C34" s="397" t="s">
        <v>1168</v>
      </c>
      <c r="D34" s="397" t="s">
        <v>1169</v>
      </c>
      <c r="E34" s="400" t="s">
        <v>1180</v>
      </c>
      <c r="F34" s="397">
        <v>2683.62</v>
      </c>
      <c r="G34" s="397">
        <v>2683.62</v>
      </c>
      <c r="H34" s="398">
        <v>0</v>
      </c>
    </row>
    <row r="35" spans="1:12" x14ac:dyDescent="0.3">
      <c r="A35" s="402" t="s">
        <v>497</v>
      </c>
      <c r="B35" s="402"/>
      <c r="C35" s="403" t="s">
        <v>1168</v>
      </c>
      <c r="D35" s="403" t="s">
        <v>1169</v>
      </c>
      <c r="E35" s="400" t="s">
        <v>1181</v>
      </c>
      <c r="F35" s="403">
        <v>1866.35</v>
      </c>
      <c r="G35" s="403">
        <v>1866.35</v>
      </c>
      <c r="H35" s="404">
        <v>0</v>
      </c>
      <c r="J35" s="68" t="s">
        <v>1182</v>
      </c>
      <c r="K35" s="68">
        <f>SUM(F24:F35)</f>
        <v>29812.77</v>
      </c>
      <c r="L35" s="68" t="s">
        <v>35</v>
      </c>
    </row>
    <row r="36" spans="1:12" x14ac:dyDescent="0.3">
      <c r="G36" s="68">
        <f>SUM(G24:G35)</f>
        <v>29812.77</v>
      </c>
      <c r="J36" t="s">
        <v>1183</v>
      </c>
      <c r="K36">
        <f>F4*5.1%</f>
        <v>22383.184672954096</v>
      </c>
      <c r="L36" s="68" t="s">
        <v>35</v>
      </c>
    </row>
    <row r="37" spans="1:12" x14ac:dyDescent="0.3">
      <c r="A37" s="421" t="s">
        <v>1184</v>
      </c>
      <c r="B37" s="421"/>
      <c r="C37" s="421" t="s">
        <v>1185</v>
      </c>
      <c r="D37" s="421"/>
      <c r="E37" s="421" t="s">
        <v>1186</v>
      </c>
      <c r="F37" s="421" t="s">
        <v>887</v>
      </c>
      <c r="J37" t="s">
        <v>1187</v>
      </c>
      <c r="K37">
        <f>SUM(K35:K36)</f>
        <v>52195.954672954096</v>
      </c>
      <c r="L37" s="68" t="s">
        <v>35</v>
      </c>
    </row>
    <row r="38" spans="1:12" x14ac:dyDescent="0.3">
      <c r="E38" t="s">
        <v>35</v>
      </c>
      <c r="F38" t="s">
        <v>887</v>
      </c>
    </row>
    <row r="39" spans="1:12" x14ac:dyDescent="0.3">
      <c r="A39" t="s">
        <v>3</v>
      </c>
      <c r="C39" t="s">
        <v>1188</v>
      </c>
      <c r="D39" t="s">
        <v>1189</v>
      </c>
      <c r="E39" s="68">
        <v>17770.355650000001</v>
      </c>
      <c r="F39">
        <v>17.770355650000003</v>
      </c>
    </row>
    <row r="40" spans="1:12" x14ac:dyDescent="0.3">
      <c r="A40" t="s">
        <v>497</v>
      </c>
      <c r="C40" t="s">
        <v>1188</v>
      </c>
      <c r="E40">
        <v>12052.9</v>
      </c>
    </row>
    <row r="41" spans="1:12" x14ac:dyDescent="0.3">
      <c r="A41" t="s">
        <v>1190</v>
      </c>
      <c r="C41" t="s">
        <v>1188</v>
      </c>
      <c r="E41">
        <v>5595.4556500000008</v>
      </c>
    </row>
    <row r="42" spans="1:12" x14ac:dyDescent="0.3">
      <c r="A42" t="s">
        <v>1191</v>
      </c>
      <c r="C42" t="s">
        <v>1188</v>
      </c>
      <c r="E42">
        <v>122</v>
      </c>
    </row>
    <row r="43" spans="1:12" ht="15" thickBot="1" x14ac:dyDescent="0.35"/>
    <row r="44" spans="1:12" x14ac:dyDescent="0.3">
      <c r="F44" s="503"/>
      <c r="G44" s="504"/>
      <c r="H44" s="505">
        <v>2024</v>
      </c>
      <c r="I44" s="506">
        <v>2025</v>
      </c>
    </row>
    <row r="45" spans="1:12" x14ac:dyDescent="0.3">
      <c r="F45" s="507" t="s">
        <v>614</v>
      </c>
      <c r="G45" t="s">
        <v>1080</v>
      </c>
      <c r="H45" s="508">
        <v>2374659.3459999999</v>
      </c>
      <c r="I45" s="509">
        <f>F21</f>
        <v>2761943.68469078</v>
      </c>
    </row>
    <row r="46" spans="1:12" x14ac:dyDescent="0.3">
      <c r="F46" s="507"/>
      <c r="G46" t="s">
        <v>1087</v>
      </c>
      <c r="H46" s="508">
        <v>4660486.8640000001</v>
      </c>
      <c r="I46" s="509">
        <f>C21</f>
        <v>6236721.4000424901</v>
      </c>
    </row>
    <row r="47" spans="1:12" x14ac:dyDescent="0.3">
      <c r="F47" s="507"/>
      <c r="G47" t="s">
        <v>1092</v>
      </c>
      <c r="H47" s="508">
        <v>3042080.9550000001</v>
      </c>
      <c r="I47" s="510">
        <f>SUMIF(B2:B20, "Non-managed",C2:C20)</f>
        <v>2171548.547521248</v>
      </c>
      <c r="J47" s="196"/>
    </row>
    <row r="48" spans="1:12" x14ac:dyDescent="0.3">
      <c r="F48" s="507"/>
      <c r="I48" s="511"/>
    </row>
    <row r="49" spans="6:10" x14ac:dyDescent="0.3">
      <c r="F49" s="507"/>
      <c r="I49" s="511"/>
    </row>
    <row r="50" spans="6:10" x14ac:dyDescent="0.3">
      <c r="F50" s="507"/>
      <c r="G50" t="s">
        <v>1192</v>
      </c>
      <c r="H50" s="508">
        <v>10077227.164999999</v>
      </c>
      <c r="I50" s="509">
        <f>SUM(I45:I47)</f>
        <v>11170213.632254519</v>
      </c>
    </row>
    <row r="51" spans="6:10" x14ac:dyDescent="0.3">
      <c r="F51" s="507"/>
      <c r="G51" t="s">
        <v>1193</v>
      </c>
      <c r="H51" s="508">
        <f>H50-SUM('Electricity 2024'!T27,'Electricity 2024'!T28)</f>
        <v>9606332.8429999985</v>
      </c>
      <c r="I51" s="509">
        <f>I50-H8</f>
        <v>11088939.833254518</v>
      </c>
      <c r="J51" t="s">
        <v>1194</v>
      </c>
    </row>
    <row r="52" spans="6:10" x14ac:dyDescent="0.3">
      <c r="F52" s="507"/>
      <c r="G52" t="s">
        <v>1082</v>
      </c>
      <c r="H52">
        <v>2374659.3459999999</v>
      </c>
      <c r="I52" s="509">
        <f>G21</f>
        <v>2761943.68469078</v>
      </c>
    </row>
    <row r="53" spans="6:10" x14ac:dyDescent="0.3">
      <c r="F53" s="507"/>
      <c r="G53" t="s">
        <v>1086</v>
      </c>
      <c r="H53">
        <v>4273182.3569900002</v>
      </c>
      <c r="I53" s="509">
        <f>D21</f>
        <v>3774373.2505212398</v>
      </c>
    </row>
    <row r="54" spans="6:10" x14ac:dyDescent="0.3">
      <c r="F54" s="507"/>
      <c r="I54" s="511"/>
    </row>
    <row r="55" spans="6:10" x14ac:dyDescent="0.3">
      <c r="F55" s="507"/>
      <c r="G55" t="s">
        <v>1195</v>
      </c>
      <c r="H55">
        <v>6647841.7029900001</v>
      </c>
      <c r="I55" s="509">
        <f>SUM(I52:I53)</f>
        <v>6536316.9352120198</v>
      </c>
    </row>
    <row r="56" spans="6:10" x14ac:dyDescent="0.3">
      <c r="F56" s="507"/>
      <c r="I56" s="511"/>
    </row>
    <row r="57" spans="6:10" x14ac:dyDescent="0.3">
      <c r="F57" s="507"/>
      <c r="G57" t="s">
        <v>1196</v>
      </c>
      <c r="H57">
        <v>48562.913</v>
      </c>
      <c r="I57" s="511">
        <f>E39</f>
        <v>17770.355650000001</v>
      </c>
    </row>
    <row r="58" spans="6:10" x14ac:dyDescent="0.3">
      <c r="F58" s="507"/>
      <c r="I58" s="511"/>
    </row>
    <row r="59" spans="6:10" ht="15" thickBot="1" x14ac:dyDescent="0.35">
      <c r="F59" s="512"/>
      <c r="G59" s="73" t="s">
        <v>1197</v>
      </c>
      <c r="H59" s="73">
        <v>48562.913</v>
      </c>
      <c r="I59" s="513">
        <f>I57</f>
        <v>17770.355650000001</v>
      </c>
    </row>
    <row r="61" spans="6:10" ht="15" thickBot="1" x14ac:dyDescent="0.35">
      <c r="H61" s="68">
        <v>2024</v>
      </c>
      <c r="I61" s="68">
        <v>2025</v>
      </c>
    </row>
    <row r="62" spans="6:10" x14ac:dyDescent="0.3">
      <c r="F62" s="503" t="s">
        <v>624</v>
      </c>
      <c r="G62" s="504" t="s">
        <v>1080</v>
      </c>
      <c r="H62" s="514">
        <v>2222526.3459999999</v>
      </c>
      <c r="I62" s="515">
        <f>SUMIF(B2:B19, "Managed", F2:F19)</f>
        <v>2572088.4846907798</v>
      </c>
      <c r="J62" s="72">
        <f>(I62-H62)/H62</f>
        <v>0.1572814375496181</v>
      </c>
    </row>
    <row r="63" spans="6:10" x14ac:dyDescent="0.3">
      <c r="F63" s="507"/>
      <c r="G63" t="s">
        <v>1087</v>
      </c>
      <c r="H63" s="508">
        <v>4003127.764</v>
      </c>
      <c r="I63" s="510">
        <f>SUMIF(B2:B19, "Managed", C2:C19)</f>
        <v>3311921.8525212402</v>
      </c>
    </row>
    <row r="64" spans="6:10" x14ac:dyDescent="0.3">
      <c r="F64" s="507"/>
      <c r="G64" t="s">
        <v>1196</v>
      </c>
      <c r="H64" s="508"/>
      <c r="I64" s="511">
        <f>E39</f>
        <v>17770.355650000001</v>
      </c>
      <c r="J64" t="s">
        <v>1198</v>
      </c>
    </row>
    <row r="65" spans="6:12" x14ac:dyDescent="0.3">
      <c r="F65" s="507"/>
      <c r="H65" s="508"/>
      <c r="I65" s="511"/>
    </row>
    <row r="66" spans="6:12" x14ac:dyDescent="0.3">
      <c r="F66" s="507"/>
      <c r="G66" t="s">
        <v>1192</v>
      </c>
      <c r="H66" s="508">
        <v>6225654.1099999994</v>
      </c>
      <c r="I66" s="510">
        <f>SUM(I62:I64)</f>
        <v>5901780.6928620208</v>
      </c>
    </row>
    <row r="67" spans="6:12" x14ac:dyDescent="0.3">
      <c r="F67" s="507"/>
      <c r="G67" t="s">
        <v>1199</v>
      </c>
      <c r="H67" s="508">
        <f>H66-H8</f>
        <v>6144380.3109999998</v>
      </c>
      <c r="I67" s="510">
        <f>I66-H8</f>
        <v>5820506.8938620212</v>
      </c>
      <c r="J67" t="s">
        <v>1194</v>
      </c>
    </row>
    <row r="68" spans="6:12" x14ac:dyDescent="0.3">
      <c r="F68" s="507"/>
      <c r="G68" t="s">
        <v>1082</v>
      </c>
      <c r="H68" s="508">
        <v>2222526.3459999999</v>
      </c>
      <c r="I68" s="510">
        <f>SUMIF(B2:B19, "Managed", G2:G19)</f>
        <v>2572088.4846907798</v>
      </c>
    </row>
    <row r="69" spans="6:12" x14ac:dyDescent="0.3">
      <c r="F69" s="507"/>
      <c r="G69" t="s">
        <v>1086</v>
      </c>
      <c r="H69" s="508">
        <v>2978632.3569900002</v>
      </c>
      <c r="I69" s="510">
        <f>SUMIF(B2:B19, "Managed", D2:D19)</f>
        <v>2324576.5505212401</v>
      </c>
      <c r="L69" s="508"/>
    </row>
    <row r="70" spans="6:12" x14ac:dyDescent="0.3">
      <c r="F70" s="507"/>
      <c r="H70" s="508"/>
      <c r="I70" s="511"/>
    </row>
    <row r="71" spans="6:12" x14ac:dyDescent="0.3">
      <c r="F71" s="507"/>
      <c r="G71" t="s">
        <v>1195</v>
      </c>
      <c r="H71" s="508">
        <v>5201158.7029900001</v>
      </c>
      <c r="I71" s="510">
        <f>SUM(I68:I69)</f>
        <v>4896665.0352120195</v>
      </c>
    </row>
    <row r="72" spans="6:12" x14ac:dyDescent="0.3">
      <c r="F72" s="507"/>
      <c r="H72" s="508"/>
      <c r="I72" s="511"/>
    </row>
    <row r="73" spans="6:12" x14ac:dyDescent="0.3">
      <c r="F73" s="507"/>
      <c r="G73" t="s">
        <v>1196</v>
      </c>
      <c r="H73" s="508">
        <v>48562.913</v>
      </c>
      <c r="I73" s="511">
        <f>I57</f>
        <v>17770.355650000001</v>
      </c>
    </row>
    <row r="74" spans="6:12" x14ac:dyDescent="0.3">
      <c r="F74" s="507"/>
      <c r="H74" s="508"/>
      <c r="I74" s="511"/>
    </row>
    <row r="75" spans="6:12" ht="15" thickBot="1" x14ac:dyDescent="0.35">
      <c r="F75" s="512"/>
      <c r="G75" s="73" t="s">
        <v>1197</v>
      </c>
      <c r="H75" s="516">
        <v>48562.913</v>
      </c>
      <c r="I75" s="513">
        <f>I73</f>
        <v>17770.355650000001</v>
      </c>
    </row>
    <row r="76" spans="6:12" ht="15" thickBot="1" x14ac:dyDescent="0.35">
      <c r="H76" s="68">
        <v>2024</v>
      </c>
      <c r="I76" s="68">
        <v>2025</v>
      </c>
    </row>
    <row r="77" spans="6:12" x14ac:dyDescent="0.3">
      <c r="F77" s="503" t="s">
        <v>635</v>
      </c>
      <c r="G77" s="504" t="s">
        <v>1080</v>
      </c>
      <c r="H77" s="504">
        <v>152133</v>
      </c>
      <c r="I77" s="517">
        <f>SUMIF(B2:B19, "Residential", F2:F19)</f>
        <v>189855.2</v>
      </c>
    </row>
    <row r="78" spans="6:12" x14ac:dyDescent="0.3">
      <c r="F78" s="507"/>
      <c r="G78" t="s">
        <v>1087</v>
      </c>
      <c r="H78">
        <v>657359.10000000009</v>
      </c>
      <c r="I78" s="511">
        <f>SUMIF(B2:B19, "Residential", C2:C19)</f>
        <v>753251</v>
      </c>
    </row>
    <row r="79" spans="6:12" x14ac:dyDescent="0.3">
      <c r="F79" s="507"/>
      <c r="G79" t="s">
        <v>1092</v>
      </c>
      <c r="H79">
        <v>31306</v>
      </c>
      <c r="I79" s="511">
        <v>0</v>
      </c>
    </row>
    <row r="80" spans="6:12" x14ac:dyDescent="0.3">
      <c r="F80" s="507"/>
      <c r="I80" s="511"/>
    </row>
    <row r="81" spans="6:9" x14ac:dyDescent="0.3">
      <c r="F81" s="507"/>
      <c r="G81" t="s">
        <v>1192</v>
      </c>
      <c r="H81">
        <v>840798.10000000009</v>
      </c>
      <c r="I81" s="511">
        <f>SUM(I77:I79)</f>
        <v>943106.2</v>
      </c>
    </row>
    <row r="82" spans="6:9" x14ac:dyDescent="0.3">
      <c r="F82" s="507"/>
      <c r="I82" s="511"/>
    </row>
    <row r="83" spans="6:9" x14ac:dyDescent="0.3">
      <c r="F83" s="507"/>
      <c r="G83" t="s">
        <v>1082</v>
      </c>
      <c r="H83">
        <v>152133</v>
      </c>
      <c r="I83" s="511">
        <f>SUMIF(B2:B19, "Residential",G2:G19)</f>
        <v>189855.2</v>
      </c>
    </row>
    <row r="84" spans="6:9" x14ac:dyDescent="0.3">
      <c r="F84" s="507"/>
      <c r="G84" t="s">
        <v>1086</v>
      </c>
      <c r="I84" s="511">
        <f>SUMIF(B2:B19, "Residential",D2:D19)</f>
        <v>189611</v>
      </c>
    </row>
    <row r="85" spans="6:9" ht="15" thickBot="1" x14ac:dyDescent="0.35">
      <c r="F85" s="512"/>
      <c r="G85" s="73" t="s">
        <v>1195</v>
      </c>
      <c r="H85" s="73">
        <v>152133</v>
      </c>
      <c r="I85" s="513">
        <f>SUM(I83:I84)</f>
        <v>379466.2</v>
      </c>
    </row>
  </sheetData>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32FF-A333-48B7-8E63-5C822E66F0A0}">
  <sheetPr codeName="Sheet22"/>
  <dimension ref="A1:V41"/>
  <sheetViews>
    <sheetView showGridLines="0" zoomScaleNormal="100" workbookViewId="0">
      <pane xSplit="1" ySplit="15" topLeftCell="N16" activePane="bottomRight" state="frozen"/>
      <selection pane="topRight"/>
      <selection pane="bottomLeft"/>
      <selection pane="bottomRight" activeCell="Q39" sqref="Q39"/>
    </sheetView>
  </sheetViews>
  <sheetFormatPr defaultColWidth="8.88671875" defaultRowHeight="13.8" x14ac:dyDescent="0.3"/>
  <cols>
    <col min="1" max="1" width="27.77734375" style="330" bestFit="1" customWidth="1"/>
    <col min="2" max="2" width="13.77734375" style="330" bestFit="1" customWidth="1"/>
    <col min="3" max="3" width="14.77734375" style="330" bestFit="1" customWidth="1"/>
    <col min="4" max="4" width="38.109375" style="330" bestFit="1" customWidth="1"/>
    <col min="5" max="5" width="10.21875" style="330" bestFit="1" customWidth="1"/>
    <col min="6" max="6" width="11" style="330" bestFit="1" customWidth="1"/>
    <col min="7" max="7" width="13.44140625" style="330" bestFit="1" customWidth="1"/>
    <col min="8" max="8" width="13.77734375" style="330" bestFit="1" customWidth="1"/>
    <col min="9" max="9" width="14.109375" style="330" bestFit="1" customWidth="1"/>
    <col min="10" max="10" width="13.77734375" style="330" bestFit="1" customWidth="1"/>
    <col min="11" max="11" width="14.21875" style="330" bestFit="1" customWidth="1"/>
    <col min="12" max="12" width="13.5546875" style="330" bestFit="1" customWidth="1"/>
    <col min="13" max="13" width="13.109375" style="330" bestFit="1" customWidth="1"/>
    <col min="14" max="14" width="13.88671875" style="330" bestFit="1" customWidth="1"/>
    <col min="15" max="15" width="13.77734375" style="330" bestFit="1" customWidth="1"/>
    <col min="16" max="16" width="13.5546875" style="330" bestFit="1" customWidth="1"/>
    <col min="17" max="17" width="13.88671875" style="330" bestFit="1" customWidth="1"/>
    <col min="18" max="18" width="24.88671875" style="330" customWidth="1"/>
    <col min="19" max="19" width="17.5546875" style="330" customWidth="1"/>
    <col min="20" max="20" width="18.21875" style="330" customWidth="1"/>
    <col min="21" max="21" width="18.88671875" style="330" customWidth="1"/>
    <col min="22" max="22" width="17.44140625" style="330" customWidth="1"/>
    <col min="23" max="253" width="8.88671875" style="330"/>
    <col min="254" max="271" width="17.77734375" style="330" customWidth="1"/>
    <col min="272" max="509" width="8.88671875" style="330"/>
    <col min="510" max="527" width="17.77734375" style="330" customWidth="1"/>
    <col min="528" max="765" width="8.88671875" style="330"/>
    <col min="766" max="783" width="17.77734375" style="330" customWidth="1"/>
    <col min="784" max="1021" width="8.88671875" style="330"/>
    <col min="1022" max="1039" width="17.77734375" style="330" customWidth="1"/>
    <col min="1040" max="1277" width="8.88671875" style="330"/>
    <col min="1278" max="1295" width="17.77734375" style="330" customWidth="1"/>
    <col min="1296" max="1533" width="8.88671875" style="330"/>
    <col min="1534" max="1551" width="17.77734375" style="330" customWidth="1"/>
    <col min="1552" max="1789" width="8.88671875" style="330"/>
    <col min="1790" max="1807" width="17.77734375" style="330" customWidth="1"/>
    <col min="1808" max="2045" width="8.88671875" style="330"/>
    <col min="2046" max="2063" width="17.77734375" style="330" customWidth="1"/>
    <col min="2064" max="2301" width="8.88671875" style="330"/>
    <col min="2302" max="2319" width="17.77734375" style="330" customWidth="1"/>
    <col min="2320" max="2557" width="8.88671875" style="330"/>
    <col min="2558" max="2575" width="17.77734375" style="330" customWidth="1"/>
    <col min="2576" max="2813" width="8.88671875" style="330"/>
    <col min="2814" max="2831" width="17.77734375" style="330" customWidth="1"/>
    <col min="2832" max="3069" width="8.88671875" style="330"/>
    <col min="3070" max="3087" width="17.77734375" style="330" customWidth="1"/>
    <col min="3088" max="3325" width="8.88671875" style="330"/>
    <col min="3326" max="3343" width="17.77734375" style="330" customWidth="1"/>
    <col min="3344" max="3581" width="8.88671875" style="330"/>
    <col min="3582" max="3599" width="17.77734375" style="330" customWidth="1"/>
    <col min="3600" max="3837" width="8.88671875" style="330"/>
    <col min="3838" max="3855" width="17.77734375" style="330" customWidth="1"/>
    <col min="3856" max="4093" width="8.88671875" style="330"/>
    <col min="4094" max="4111" width="17.77734375" style="330" customWidth="1"/>
    <col min="4112" max="4349" width="8.88671875" style="330"/>
    <col min="4350" max="4367" width="17.77734375" style="330" customWidth="1"/>
    <col min="4368" max="4605" width="8.88671875" style="330"/>
    <col min="4606" max="4623" width="17.77734375" style="330" customWidth="1"/>
    <col min="4624" max="4861" width="8.88671875" style="330"/>
    <col min="4862" max="4879" width="17.77734375" style="330" customWidth="1"/>
    <col min="4880" max="5117" width="8.88671875" style="330"/>
    <col min="5118" max="5135" width="17.77734375" style="330" customWidth="1"/>
    <col min="5136" max="5373" width="8.88671875" style="330"/>
    <col min="5374" max="5391" width="17.77734375" style="330" customWidth="1"/>
    <col min="5392" max="5629" width="8.88671875" style="330"/>
    <col min="5630" max="5647" width="17.77734375" style="330" customWidth="1"/>
    <col min="5648" max="5885" width="8.88671875" style="330"/>
    <col min="5886" max="5903" width="17.77734375" style="330" customWidth="1"/>
    <col min="5904" max="6141" width="8.88671875" style="330"/>
    <col min="6142" max="6159" width="17.77734375" style="330" customWidth="1"/>
    <col min="6160" max="6397" width="8.88671875" style="330"/>
    <col min="6398" max="6415" width="17.77734375" style="330" customWidth="1"/>
    <col min="6416" max="6653" width="8.88671875" style="330"/>
    <col min="6654" max="6671" width="17.77734375" style="330" customWidth="1"/>
    <col min="6672" max="6909" width="8.88671875" style="330"/>
    <col min="6910" max="6927" width="17.77734375" style="330" customWidth="1"/>
    <col min="6928" max="7165" width="8.88671875" style="330"/>
    <col min="7166" max="7183" width="17.77734375" style="330" customWidth="1"/>
    <col min="7184" max="7421" width="8.88671875" style="330"/>
    <col min="7422" max="7439" width="17.77734375" style="330" customWidth="1"/>
    <col min="7440" max="7677" width="8.88671875" style="330"/>
    <col min="7678" max="7695" width="17.77734375" style="330" customWidth="1"/>
    <col min="7696" max="7933" width="8.88671875" style="330"/>
    <col min="7934" max="7951" width="17.77734375" style="330" customWidth="1"/>
    <col min="7952" max="8189" width="8.88671875" style="330"/>
    <col min="8190" max="8207" width="17.77734375" style="330" customWidth="1"/>
    <col min="8208" max="8445" width="8.88671875" style="330"/>
    <col min="8446" max="8463" width="17.77734375" style="330" customWidth="1"/>
    <col min="8464" max="8701" width="8.88671875" style="330"/>
    <col min="8702" max="8719" width="17.77734375" style="330" customWidth="1"/>
    <col min="8720" max="8957" width="8.88671875" style="330"/>
    <col min="8958" max="8975" width="17.77734375" style="330" customWidth="1"/>
    <col min="8976" max="9213" width="8.88671875" style="330"/>
    <col min="9214" max="9231" width="17.77734375" style="330" customWidth="1"/>
    <col min="9232" max="9469" width="8.88671875" style="330"/>
    <col min="9470" max="9487" width="17.77734375" style="330" customWidth="1"/>
    <col min="9488" max="9725" width="8.88671875" style="330"/>
    <col min="9726" max="9743" width="17.77734375" style="330" customWidth="1"/>
    <col min="9744" max="9981" width="8.88671875" style="330"/>
    <col min="9982" max="9999" width="17.77734375" style="330" customWidth="1"/>
    <col min="10000" max="10237" width="8.88671875" style="330"/>
    <col min="10238" max="10255" width="17.77734375" style="330" customWidth="1"/>
    <col min="10256" max="10493" width="8.88671875" style="330"/>
    <col min="10494" max="10511" width="17.77734375" style="330" customWidth="1"/>
    <col min="10512" max="10749" width="8.88671875" style="330"/>
    <col min="10750" max="10767" width="17.77734375" style="330" customWidth="1"/>
    <col min="10768" max="11005" width="8.88671875" style="330"/>
    <col min="11006" max="11023" width="17.77734375" style="330" customWidth="1"/>
    <col min="11024" max="11261" width="8.88671875" style="330"/>
    <col min="11262" max="11279" width="17.77734375" style="330" customWidth="1"/>
    <col min="11280" max="11517" width="8.88671875" style="330"/>
    <col min="11518" max="11535" width="17.77734375" style="330" customWidth="1"/>
    <col min="11536" max="11773" width="8.88671875" style="330"/>
    <col min="11774" max="11791" width="17.77734375" style="330" customWidth="1"/>
    <col min="11792" max="12029" width="8.88671875" style="330"/>
    <col min="12030" max="12047" width="17.77734375" style="330" customWidth="1"/>
    <col min="12048" max="12285" width="8.88671875" style="330"/>
    <col min="12286" max="12303" width="17.77734375" style="330" customWidth="1"/>
    <col min="12304" max="12541" width="8.88671875" style="330"/>
    <col min="12542" max="12559" width="17.77734375" style="330" customWidth="1"/>
    <col min="12560" max="12797" width="8.88671875" style="330"/>
    <col min="12798" max="12815" width="17.77734375" style="330" customWidth="1"/>
    <col min="12816" max="13053" width="8.88671875" style="330"/>
    <col min="13054" max="13071" width="17.77734375" style="330" customWidth="1"/>
    <col min="13072" max="13309" width="8.88671875" style="330"/>
    <col min="13310" max="13327" width="17.77734375" style="330" customWidth="1"/>
    <col min="13328" max="13565" width="8.88671875" style="330"/>
    <col min="13566" max="13583" width="17.77734375" style="330" customWidth="1"/>
    <col min="13584" max="13821" width="8.88671875" style="330"/>
    <col min="13822" max="13839" width="17.77734375" style="330" customWidth="1"/>
    <col min="13840" max="14077" width="8.88671875" style="330"/>
    <col min="14078" max="14095" width="17.77734375" style="330" customWidth="1"/>
    <col min="14096" max="14333" width="8.88671875" style="330"/>
    <col min="14334" max="14351" width="17.77734375" style="330" customWidth="1"/>
    <col min="14352" max="14589" width="8.88671875" style="330"/>
    <col min="14590" max="14607" width="17.77734375" style="330" customWidth="1"/>
    <col min="14608" max="14845" width="8.88671875" style="330"/>
    <col min="14846" max="14863" width="17.77734375" style="330" customWidth="1"/>
    <col min="14864" max="15101" width="8.88671875" style="330"/>
    <col min="15102" max="15119" width="17.77734375" style="330" customWidth="1"/>
    <col min="15120" max="15357" width="8.88671875" style="330"/>
    <col min="15358" max="15375" width="17.77734375" style="330" customWidth="1"/>
    <col min="15376" max="15613" width="8.88671875" style="330"/>
    <col min="15614" max="15631" width="17.77734375" style="330" customWidth="1"/>
    <col min="15632" max="15869" width="8.88671875" style="330"/>
    <col min="15870" max="15887" width="17.77734375" style="330" customWidth="1"/>
    <col min="15888" max="16125" width="8.88671875" style="330"/>
    <col min="16126" max="16143" width="17.77734375" style="330" customWidth="1"/>
    <col min="16144" max="16384" width="8.88671875" style="330"/>
  </cols>
  <sheetData>
    <row r="1" spans="1:22" ht="13.35" customHeight="1" x14ac:dyDescent="0.3">
      <c r="A1" s="876" t="s">
        <v>1140</v>
      </c>
      <c r="B1" s="876" t="s">
        <v>1140</v>
      </c>
      <c r="C1" s="876" t="s">
        <v>1140</v>
      </c>
      <c r="D1" s="876" t="s">
        <v>1140</v>
      </c>
      <c r="E1" s="876" t="s">
        <v>1140</v>
      </c>
      <c r="F1" s="876" t="s">
        <v>1140</v>
      </c>
      <c r="G1" s="876" t="s">
        <v>1140</v>
      </c>
      <c r="H1" s="876" t="s">
        <v>1140</v>
      </c>
      <c r="I1" s="876" t="s">
        <v>1140</v>
      </c>
      <c r="J1" s="876" t="s">
        <v>1140</v>
      </c>
      <c r="K1" s="876" t="s">
        <v>1140</v>
      </c>
      <c r="L1" s="876" t="s">
        <v>1140</v>
      </c>
      <c r="M1" s="876" t="s">
        <v>1140</v>
      </c>
      <c r="N1" s="876" t="s">
        <v>1140</v>
      </c>
      <c r="O1" s="876" t="s">
        <v>1140</v>
      </c>
      <c r="P1" s="876" t="s">
        <v>1140</v>
      </c>
      <c r="Q1" s="876" t="s">
        <v>1140</v>
      </c>
      <c r="R1" s="876" t="s">
        <v>1140</v>
      </c>
      <c r="S1" s="876" t="s">
        <v>1140</v>
      </c>
    </row>
    <row r="2" spans="1:22" ht="13.35" customHeight="1" x14ac:dyDescent="0.3">
      <c r="A2" s="876" t="s">
        <v>1063</v>
      </c>
      <c r="B2" s="876" t="s">
        <v>1063</v>
      </c>
      <c r="C2" s="876" t="s">
        <v>1063</v>
      </c>
      <c r="D2" s="876" t="s">
        <v>1063</v>
      </c>
      <c r="E2" s="876" t="s">
        <v>1063</v>
      </c>
      <c r="F2" s="876" t="s">
        <v>1063</v>
      </c>
      <c r="G2" s="876" t="s">
        <v>1063</v>
      </c>
      <c r="H2" s="876" t="s">
        <v>1063</v>
      </c>
      <c r="I2" s="876" t="s">
        <v>1063</v>
      </c>
      <c r="J2" s="876" t="s">
        <v>1063</v>
      </c>
      <c r="K2" s="876" t="s">
        <v>1063</v>
      </c>
      <c r="L2" s="876" t="s">
        <v>1063</v>
      </c>
      <c r="M2" s="876" t="s">
        <v>1063</v>
      </c>
      <c r="N2" s="876" t="s">
        <v>1063</v>
      </c>
      <c r="O2" s="876" t="s">
        <v>1063</v>
      </c>
      <c r="P2" s="876" t="s">
        <v>1063</v>
      </c>
      <c r="Q2" s="876" t="s">
        <v>1063</v>
      </c>
      <c r="R2" s="876" t="s">
        <v>1063</v>
      </c>
      <c r="S2" s="876" t="s">
        <v>1063</v>
      </c>
    </row>
    <row r="3" spans="1:22" ht="13.35" customHeight="1" x14ac:dyDescent="0.3">
      <c r="A3" s="876" t="s">
        <v>1200</v>
      </c>
      <c r="B3" s="876" t="s">
        <v>1200</v>
      </c>
      <c r="C3" s="876" t="s">
        <v>1200</v>
      </c>
      <c r="D3" s="876" t="s">
        <v>1200</v>
      </c>
      <c r="E3" s="876" t="s">
        <v>1200</v>
      </c>
      <c r="F3" s="876" t="s">
        <v>1200</v>
      </c>
      <c r="G3" s="876" t="s">
        <v>1200</v>
      </c>
      <c r="H3" s="876" t="s">
        <v>1200</v>
      </c>
      <c r="I3" s="876" t="s">
        <v>1200</v>
      </c>
      <c r="J3" s="876" t="s">
        <v>1200</v>
      </c>
      <c r="K3" s="876" t="s">
        <v>1200</v>
      </c>
      <c r="L3" s="876" t="s">
        <v>1200</v>
      </c>
      <c r="M3" s="876" t="s">
        <v>1200</v>
      </c>
      <c r="N3" s="876" t="s">
        <v>1200</v>
      </c>
      <c r="O3" s="876" t="s">
        <v>1200</v>
      </c>
      <c r="P3" s="876" t="s">
        <v>1200</v>
      </c>
      <c r="Q3" s="876" t="s">
        <v>1200</v>
      </c>
      <c r="R3" s="876" t="s">
        <v>1200</v>
      </c>
      <c r="S3" s="876" t="s">
        <v>1200</v>
      </c>
    </row>
    <row r="4" spans="1:22" ht="13.35" customHeight="1" x14ac:dyDescent="0.3">
      <c r="A4" s="874"/>
      <c r="B4" s="874"/>
      <c r="C4" s="874"/>
      <c r="D4" s="874"/>
      <c r="E4" s="874"/>
      <c r="F4" s="332"/>
      <c r="G4" s="875" t="s">
        <v>1105</v>
      </c>
      <c r="H4" s="875" t="s">
        <v>1105</v>
      </c>
      <c r="I4" s="874"/>
      <c r="J4" s="874"/>
      <c r="K4" s="874"/>
      <c r="L4" s="874"/>
      <c r="M4" s="874"/>
      <c r="N4" s="874"/>
      <c r="O4" s="874"/>
      <c r="P4" s="874"/>
      <c r="Q4" s="874"/>
      <c r="R4" s="874"/>
      <c r="S4" s="331"/>
    </row>
    <row r="5" spans="1:22" x14ac:dyDescent="0.3">
      <c r="A5" s="877"/>
      <c r="B5" s="877"/>
      <c r="C5" s="877"/>
      <c r="D5" s="877"/>
      <c r="E5" s="877"/>
      <c r="F5" s="333"/>
      <c r="G5" s="878" t="s">
        <v>1106</v>
      </c>
      <c r="H5" s="878" t="s">
        <v>1106</v>
      </c>
      <c r="I5" s="877"/>
      <c r="J5" s="877"/>
      <c r="K5" s="877"/>
      <c r="L5" s="877"/>
      <c r="M5" s="877"/>
      <c r="N5" s="877"/>
      <c r="O5" s="877"/>
      <c r="P5" s="877"/>
      <c r="Q5" s="877"/>
      <c r="R5" s="877"/>
    </row>
    <row r="6" spans="1:22" x14ac:dyDescent="0.3">
      <c r="A6" s="877"/>
      <c r="B6" s="877"/>
      <c r="C6" s="877"/>
      <c r="D6" s="877"/>
      <c r="E6" s="877"/>
      <c r="F6" s="334"/>
      <c r="G6" s="878" t="s">
        <v>1107</v>
      </c>
      <c r="H6" s="878" t="s">
        <v>1107</v>
      </c>
      <c r="I6" s="877"/>
      <c r="J6" s="877"/>
      <c r="K6" s="877"/>
      <c r="L6" s="877"/>
      <c r="M6" s="877"/>
      <c r="N6" s="877"/>
      <c r="O6" s="877"/>
      <c r="P6" s="877"/>
      <c r="Q6" s="877"/>
      <c r="R6" s="877"/>
    </row>
    <row r="7" spans="1:22" x14ac:dyDescent="0.3">
      <c r="A7" s="877"/>
      <c r="B7" s="877"/>
      <c r="C7" s="877"/>
      <c r="D7" s="877"/>
      <c r="E7" s="877"/>
      <c r="F7" s="335"/>
      <c r="G7" s="878" t="s">
        <v>1108</v>
      </c>
      <c r="H7" s="878" t="s">
        <v>1108</v>
      </c>
      <c r="I7" s="877"/>
      <c r="J7" s="877"/>
      <c r="K7" s="877"/>
      <c r="L7" s="877"/>
      <c r="M7" s="877"/>
      <c r="N7" s="877"/>
      <c r="O7" s="877"/>
      <c r="P7" s="877"/>
      <c r="Q7" s="877"/>
      <c r="R7" s="877"/>
    </row>
    <row r="8" spans="1:22" x14ac:dyDescent="0.3">
      <c r="A8" s="877"/>
      <c r="B8" s="877"/>
      <c r="C8" s="877"/>
      <c r="D8" s="877"/>
      <c r="E8" s="877"/>
      <c r="F8" s="336"/>
      <c r="G8" s="878" t="s">
        <v>1109</v>
      </c>
      <c r="H8" s="878" t="s">
        <v>1109</v>
      </c>
      <c r="I8" s="877"/>
      <c r="J8" s="877"/>
      <c r="K8" s="877"/>
      <c r="L8" s="877"/>
      <c r="M8" s="877"/>
      <c r="N8" s="877"/>
      <c r="O8" s="877"/>
      <c r="P8" s="877"/>
      <c r="Q8" s="877"/>
      <c r="R8" s="877"/>
    </row>
    <row r="9" spans="1:22" x14ac:dyDescent="0.3">
      <c r="A9" s="877"/>
      <c r="B9" s="877"/>
      <c r="C9" s="877"/>
      <c r="D9" s="877"/>
      <c r="E9" s="877"/>
      <c r="F9" s="337"/>
      <c r="G9" s="878" t="s">
        <v>1111</v>
      </c>
      <c r="H9" s="878" t="s">
        <v>1111</v>
      </c>
      <c r="I9" s="877"/>
      <c r="J9" s="877"/>
      <c r="K9" s="877"/>
      <c r="L9" s="877"/>
      <c r="M9" s="877"/>
      <c r="N9" s="877"/>
      <c r="O9" s="877"/>
      <c r="P9" s="877"/>
      <c r="Q9" s="877"/>
      <c r="R9" s="877"/>
    </row>
    <row r="10" spans="1:22" x14ac:dyDescent="0.3">
      <c r="A10" s="338" t="s">
        <v>1065</v>
      </c>
      <c r="B10" s="338" t="s">
        <v>864</v>
      </c>
      <c r="C10" s="338" t="s">
        <v>1112</v>
      </c>
      <c r="D10" s="338" t="s">
        <v>1070</v>
      </c>
      <c r="E10" s="338" t="s">
        <v>1113</v>
      </c>
      <c r="F10" s="338" t="s">
        <v>1114</v>
      </c>
      <c r="G10" s="339" t="s">
        <v>1115</v>
      </c>
      <c r="H10" s="339" t="s">
        <v>1116</v>
      </c>
      <c r="I10" s="339" t="s">
        <v>1117</v>
      </c>
      <c r="J10" s="339" t="s">
        <v>1118</v>
      </c>
      <c r="K10" s="339" t="s">
        <v>1119</v>
      </c>
      <c r="L10" s="339" t="s">
        <v>1120</v>
      </c>
      <c r="M10" s="339" t="s">
        <v>1121</v>
      </c>
      <c r="N10" s="339" t="s">
        <v>1122</v>
      </c>
      <c r="O10" s="339" t="s">
        <v>1123</v>
      </c>
      <c r="P10" s="339" t="s">
        <v>1124</v>
      </c>
      <c r="Q10" s="339" t="s">
        <v>1125</v>
      </c>
      <c r="R10" s="339" t="s">
        <v>1126</v>
      </c>
      <c r="S10" s="338" t="s">
        <v>1127</v>
      </c>
      <c r="T10" s="340" t="s">
        <v>1128</v>
      </c>
      <c r="U10" s="341" t="s">
        <v>324</v>
      </c>
      <c r="V10" s="330" t="s">
        <v>1201</v>
      </c>
    </row>
    <row r="11" spans="1:22" s="89" customFormat="1" x14ac:dyDescent="0.3">
      <c r="A11" s="96" t="s">
        <v>497</v>
      </c>
      <c r="B11" s="96" t="s">
        <v>364</v>
      </c>
      <c r="C11" s="97" t="s">
        <v>865</v>
      </c>
      <c r="D11" s="96" t="s">
        <v>1078</v>
      </c>
      <c r="E11" s="98" t="s">
        <v>1130</v>
      </c>
      <c r="F11" s="96" t="s">
        <v>35</v>
      </c>
      <c r="G11" s="188">
        <v>95018</v>
      </c>
      <c r="H11" s="188">
        <v>70840.44</v>
      </c>
      <c r="I11" s="188">
        <v>65069.73</v>
      </c>
      <c r="J11" s="188">
        <v>25238.564999999999</v>
      </c>
      <c r="K11" s="188">
        <v>23502.93</v>
      </c>
      <c r="L11" s="188">
        <v>20175.375</v>
      </c>
      <c r="M11" s="188">
        <v>20451.75</v>
      </c>
      <c r="N11" s="188">
        <v>15974.475</v>
      </c>
      <c r="O11" s="188">
        <v>19313.084999999999</v>
      </c>
      <c r="P11" s="188">
        <v>23513.985000000001</v>
      </c>
      <c r="Q11" s="188">
        <v>41566.800000000003</v>
      </c>
      <c r="R11" s="188">
        <v>51483.135000000002</v>
      </c>
      <c r="S11" s="210">
        <f t="shared" ref="S11:S31" si="0">SUM(G11:R11)</f>
        <v>472148.27</v>
      </c>
      <c r="T11" s="262">
        <v>570405.005</v>
      </c>
      <c r="U11" s="98"/>
      <c r="V11" s="226"/>
    </row>
    <row r="12" spans="1:22" s="89" customFormat="1" ht="27.6" x14ac:dyDescent="0.3">
      <c r="A12" s="96" t="s">
        <v>1202</v>
      </c>
      <c r="B12" s="96" t="s">
        <v>505</v>
      </c>
      <c r="C12" s="97" t="s">
        <v>865</v>
      </c>
      <c r="D12" s="96" t="s">
        <v>1203</v>
      </c>
      <c r="E12" s="98" t="s">
        <v>1130</v>
      </c>
      <c r="F12" s="96" t="s">
        <v>35</v>
      </c>
      <c r="G12" s="99">
        <f t="shared" ref="G12:R12" si="1">G11*0.051</f>
        <v>4845.9179999999997</v>
      </c>
      <c r="H12" s="99">
        <f t="shared" si="1"/>
        <v>3612.8624399999999</v>
      </c>
      <c r="I12" s="99">
        <f t="shared" si="1"/>
        <v>3318.5562300000001</v>
      </c>
      <c r="J12" s="99">
        <f t="shared" si="1"/>
        <v>1287.1668149999998</v>
      </c>
      <c r="K12" s="99">
        <f t="shared" si="1"/>
        <v>1198.6494299999999</v>
      </c>
      <c r="L12" s="99">
        <f t="shared" si="1"/>
        <v>1028.944125</v>
      </c>
      <c r="M12" s="99">
        <f t="shared" si="1"/>
        <v>1043.03925</v>
      </c>
      <c r="N12" s="99">
        <f t="shared" si="1"/>
        <v>814.69822499999998</v>
      </c>
      <c r="O12" s="99">
        <f t="shared" si="1"/>
        <v>984.96733499999993</v>
      </c>
      <c r="P12" s="99">
        <f t="shared" si="1"/>
        <v>1199.2132349999999</v>
      </c>
      <c r="Q12" s="99">
        <f t="shared" si="1"/>
        <v>2119.9068000000002</v>
      </c>
      <c r="R12" s="99">
        <f t="shared" si="1"/>
        <v>2625.639885</v>
      </c>
      <c r="S12" s="208">
        <f t="shared" si="0"/>
        <v>24079.56177</v>
      </c>
      <c r="T12" s="263">
        <f>T11*0.051</f>
        <v>29090.655254999998</v>
      </c>
      <c r="U12" s="98" t="s">
        <v>1135</v>
      </c>
    </row>
    <row r="13" spans="1:22" s="89" customFormat="1" x14ac:dyDescent="0.3">
      <c r="A13" s="185" t="s">
        <v>499</v>
      </c>
      <c r="B13" s="96" t="s">
        <v>364</v>
      </c>
      <c r="C13" s="97" t="s">
        <v>865</v>
      </c>
      <c r="D13" s="96" t="s">
        <v>1078</v>
      </c>
      <c r="E13" s="98" t="s">
        <v>1130</v>
      </c>
      <c r="F13" s="96" t="s">
        <v>35</v>
      </c>
      <c r="G13" s="188">
        <v>5118.4650000000001</v>
      </c>
      <c r="H13" s="188">
        <v>4974.75</v>
      </c>
      <c r="I13" s="188">
        <v>5030.0249999999996</v>
      </c>
      <c r="J13" s="188">
        <v>4817.5478999999996</v>
      </c>
      <c r="K13" s="188">
        <v>5018.97</v>
      </c>
      <c r="L13" s="188">
        <v>4598.88</v>
      </c>
      <c r="M13" s="188">
        <v>4698.375</v>
      </c>
      <c r="N13" s="188">
        <v>4466.22</v>
      </c>
      <c r="O13" s="188">
        <v>4234.0649999999996</v>
      </c>
      <c r="P13" s="188">
        <v>4576.7700000000004</v>
      </c>
      <c r="Q13" s="188">
        <v>4278.2849999999999</v>
      </c>
      <c r="R13" s="188">
        <v>3592.875</v>
      </c>
      <c r="S13" s="210">
        <f t="shared" si="0"/>
        <v>55405.227900000013</v>
      </c>
      <c r="T13" s="263">
        <v>55838.805</v>
      </c>
      <c r="U13" s="98"/>
      <c r="V13" s="226">
        <f>Tbl_Gas[[#This Row],[2024 Total]]/'2024 Asset list'!I9</f>
        <v>108.88113650175715</v>
      </c>
    </row>
    <row r="14" spans="1:22" ht="27.6" x14ac:dyDescent="0.3">
      <c r="A14" s="342" t="s">
        <v>840</v>
      </c>
      <c r="B14" s="343" t="s">
        <v>505</v>
      </c>
      <c r="C14" s="344" t="s">
        <v>1204</v>
      </c>
      <c r="D14" s="343" t="s">
        <v>1205</v>
      </c>
      <c r="E14" s="341" t="s">
        <v>1130</v>
      </c>
      <c r="F14" s="343" t="s">
        <v>35</v>
      </c>
      <c r="G14" s="345">
        <v>3005.5765416613162</v>
      </c>
      <c r="H14" s="345">
        <v>3005.5765416613162</v>
      </c>
      <c r="I14" s="345">
        <v>3005.5765416613162</v>
      </c>
      <c r="J14" s="345">
        <v>3005.5765416613162</v>
      </c>
      <c r="K14" s="345">
        <v>3005.5765416613162</v>
      </c>
      <c r="L14" s="345">
        <v>3005.5765416613162</v>
      </c>
      <c r="M14" s="345">
        <v>3005.5765416613162</v>
      </c>
      <c r="N14" s="345">
        <v>3005.5765416613162</v>
      </c>
      <c r="O14" s="345">
        <v>3005.5765416613162</v>
      </c>
      <c r="P14" s="345">
        <v>3005.5765416613162</v>
      </c>
      <c r="Q14" s="345">
        <v>3005.5765416613162</v>
      </c>
      <c r="R14" s="345">
        <v>3005.5765416613162</v>
      </c>
      <c r="S14" s="346">
        <f t="shared" si="0"/>
        <v>36066.918499935797</v>
      </c>
      <c r="T14" s="346">
        <v>26896.895999999997</v>
      </c>
      <c r="U14" s="341" t="s">
        <v>1206</v>
      </c>
    </row>
    <row r="15" spans="1:22" x14ac:dyDescent="0.3">
      <c r="A15" s="342" t="s">
        <v>1137</v>
      </c>
      <c r="B15" s="343" t="s">
        <v>505</v>
      </c>
      <c r="C15" s="344" t="s">
        <v>871</v>
      </c>
      <c r="D15" s="343" t="s">
        <v>1205</v>
      </c>
      <c r="E15" s="341" t="s">
        <v>1130</v>
      </c>
      <c r="F15" s="343" t="s">
        <v>35</v>
      </c>
      <c r="G15" s="347"/>
      <c r="H15" s="347"/>
      <c r="I15" s="347"/>
      <c r="J15" s="347"/>
      <c r="K15" s="347"/>
      <c r="L15" s="347"/>
      <c r="M15" s="347"/>
      <c r="N15" s="347"/>
      <c r="O15" s="347"/>
      <c r="P15" s="347"/>
      <c r="Q15" s="347"/>
      <c r="R15" s="347"/>
      <c r="S15" s="348">
        <f t="shared" si="0"/>
        <v>0</v>
      </c>
      <c r="T15" s="346">
        <v>0</v>
      </c>
      <c r="U15" s="341"/>
    </row>
    <row r="16" spans="1:22" s="89" customFormat="1" x14ac:dyDescent="0.3">
      <c r="A16" s="185" t="s">
        <v>463</v>
      </c>
      <c r="B16" s="96" t="s">
        <v>364</v>
      </c>
      <c r="C16" s="97" t="s">
        <v>865</v>
      </c>
      <c r="D16" s="96" t="s">
        <v>1078</v>
      </c>
      <c r="E16" s="98" t="s">
        <v>1130</v>
      </c>
      <c r="F16" s="96" t="s">
        <v>35</v>
      </c>
      <c r="G16" s="188">
        <v>7042.0349999999999</v>
      </c>
      <c r="H16" s="188">
        <v>5273.2349999999997</v>
      </c>
      <c r="I16" s="188">
        <v>4831.0349999999999</v>
      </c>
      <c r="J16" s="188">
        <v>6964.65</v>
      </c>
      <c r="K16" s="188">
        <v>1779.855</v>
      </c>
      <c r="L16" s="188">
        <v>6721.44</v>
      </c>
      <c r="M16" s="188">
        <v>176.88</v>
      </c>
      <c r="N16" s="188">
        <v>619.08000000000004</v>
      </c>
      <c r="O16" s="188">
        <v>2498.4299999999998</v>
      </c>
      <c r="P16" s="188">
        <v>2597.9250000000002</v>
      </c>
      <c r="Q16" s="188">
        <v>5361.6750000000002</v>
      </c>
      <c r="R16" s="188">
        <v>7141.53</v>
      </c>
      <c r="S16" s="210">
        <f t="shared" si="0"/>
        <v>51007.770000000004</v>
      </c>
      <c r="T16" s="263">
        <v>37620.165000000001</v>
      </c>
      <c r="U16" s="98"/>
      <c r="V16" s="226">
        <f>Tbl_Gas[[#This Row],[2024 Total]]/'2024 Asset list'!I20</f>
        <v>38.830341822433823</v>
      </c>
    </row>
    <row r="17" spans="1:22" ht="41.4" x14ac:dyDescent="0.3">
      <c r="A17" s="342" t="s">
        <v>517</v>
      </c>
      <c r="B17" s="343" t="s">
        <v>505</v>
      </c>
      <c r="C17" s="344" t="s">
        <v>871</v>
      </c>
      <c r="D17" s="343" t="s">
        <v>1205</v>
      </c>
      <c r="E17" s="341" t="s">
        <v>1130</v>
      </c>
      <c r="F17" s="343" t="s">
        <v>35</v>
      </c>
      <c r="G17" s="345">
        <v>8762.1742408645259</v>
      </c>
      <c r="H17" s="345">
        <v>8762.1742408645259</v>
      </c>
      <c r="I17" s="345">
        <v>8762.1742408645259</v>
      </c>
      <c r="J17" s="345">
        <v>8762.1742408645259</v>
      </c>
      <c r="K17" s="345">
        <v>8762.1742408645259</v>
      </c>
      <c r="L17" s="345">
        <v>8762.1742408645259</v>
      </c>
      <c r="M17" s="345">
        <v>8762.1742408645259</v>
      </c>
      <c r="N17" s="345">
        <v>8762.1742408645259</v>
      </c>
      <c r="O17" s="345">
        <v>8762.1742408645259</v>
      </c>
      <c r="P17" s="345">
        <v>8762.1742408645259</v>
      </c>
      <c r="Q17" s="345">
        <v>8762.1742408645259</v>
      </c>
      <c r="R17" s="345">
        <v>8762.1742408645259</v>
      </c>
      <c r="S17" s="346">
        <f t="shared" si="0"/>
        <v>105146.09089037428</v>
      </c>
      <c r="T17" s="346">
        <v>65012.544000000002</v>
      </c>
      <c r="U17" s="341" t="s">
        <v>1207</v>
      </c>
    </row>
    <row r="18" spans="1:22" s="89" customFormat="1" x14ac:dyDescent="0.3">
      <c r="A18" s="185" t="s">
        <v>460</v>
      </c>
      <c r="B18" s="96" t="s">
        <v>364</v>
      </c>
      <c r="C18" s="97" t="s">
        <v>865</v>
      </c>
      <c r="D18" s="96" t="s">
        <v>1078</v>
      </c>
      <c r="E18" s="98" t="s">
        <v>1130</v>
      </c>
      <c r="F18" s="96" t="s">
        <v>35</v>
      </c>
      <c r="G18" s="188">
        <v>54766.47</v>
      </c>
      <c r="H18" s="188">
        <v>38460.345000000001</v>
      </c>
      <c r="I18" s="188">
        <v>32899.68</v>
      </c>
      <c r="J18" s="188">
        <v>25437.555</v>
      </c>
      <c r="K18" s="188">
        <v>5251.125</v>
      </c>
      <c r="L18" s="188">
        <v>3084.3449999999998</v>
      </c>
      <c r="M18" s="188">
        <v>1658.25</v>
      </c>
      <c r="N18" s="188">
        <v>176.88</v>
      </c>
      <c r="O18" s="188">
        <v>6002.8649999999998</v>
      </c>
      <c r="P18" s="188">
        <v>13907.19</v>
      </c>
      <c r="Q18" s="188">
        <v>39278.415000000001</v>
      </c>
      <c r="R18" s="188">
        <v>44308.44</v>
      </c>
      <c r="S18" s="210">
        <f t="shared" si="0"/>
        <v>265231.56</v>
      </c>
      <c r="T18" s="263">
        <v>325591.86000000004</v>
      </c>
      <c r="U18" s="98"/>
    </row>
    <row r="19" spans="1:22" s="89" customFormat="1" x14ac:dyDescent="0.3">
      <c r="A19" s="185" t="s">
        <v>1094</v>
      </c>
      <c r="B19" s="96" t="s">
        <v>364</v>
      </c>
      <c r="C19" s="97" t="s">
        <v>865</v>
      </c>
      <c r="D19" s="96" t="s">
        <v>1078</v>
      </c>
      <c r="E19" s="98" t="s">
        <v>1130</v>
      </c>
      <c r="F19" s="96" t="s">
        <v>35</v>
      </c>
      <c r="G19" s="188">
        <v>118222.17</v>
      </c>
      <c r="H19" s="188">
        <v>77838.255000000005</v>
      </c>
      <c r="I19" s="188">
        <v>65489.82</v>
      </c>
      <c r="J19" s="188">
        <v>38338.74</v>
      </c>
      <c r="K19" s="188">
        <v>16151.355</v>
      </c>
      <c r="L19" s="188">
        <v>8390.7450000000008</v>
      </c>
      <c r="M19" s="188">
        <v>8412.8549999999996</v>
      </c>
      <c r="N19" s="188">
        <v>7605.84</v>
      </c>
      <c r="O19" s="188">
        <v>12657.975</v>
      </c>
      <c r="P19" s="188">
        <v>34403.160000000003</v>
      </c>
      <c r="Q19" s="188">
        <v>56756.37</v>
      </c>
      <c r="R19" s="188">
        <v>49968.6</v>
      </c>
      <c r="S19" s="210">
        <f t="shared" si="0"/>
        <v>494235.88499999989</v>
      </c>
      <c r="T19" s="263">
        <v>510718.89</v>
      </c>
      <c r="U19" s="98"/>
      <c r="V19" s="226">
        <f>Tbl_Gas[[#This Row],[2024 Total]]/'2024 Asset list'!I4</f>
        <v>27.236991789155731</v>
      </c>
    </row>
    <row r="20" spans="1:22" s="89" customFormat="1" x14ac:dyDescent="0.3">
      <c r="A20" s="185" t="s">
        <v>1095</v>
      </c>
      <c r="B20" s="96" t="s">
        <v>364</v>
      </c>
      <c r="C20" s="97" t="s">
        <v>865</v>
      </c>
      <c r="D20" s="96" t="s">
        <v>1078</v>
      </c>
      <c r="E20" s="98" t="s">
        <v>1130</v>
      </c>
      <c r="F20" s="96" t="s">
        <v>35</v>
      </c>
      <c r="G20" s="188">
        <v>16880.985000000001</v>
      </c>
      <c r="H20" s="188">
        <v>12602.7</v>
      </c>
      <c r="I20" s="188">
        <v>11497.2</v>
      </c>
      <c r="J20" s="188">
        <v>10590.69</v>
      </c>
      <c r="K20" s="188">
        <v>6190.8</v>
      </c>
      <c r="L20" s="188">
        <v>5781.7650000000003</v>
      </c>
      <c r="M20" s="188">
        <v>5206.9049999999997</v>
      </c>
      <c r="N20" s="188">
        <v>4300.3950000000004</v>
      </c>
      <c r="O20" s="188">
        <v>6323.46</v>
      </c>
      <c r="P20" s="188">
        <v>5604.8850000000002</v>
      </c>
      <c r="Q20" s="188">
        <v>10867.065000000001</v>
      </c>
      <c r="R20" s="188">
        <v>19501.02</v>
      </c>
      <c r="S20" s="210">
        <f t="shared" si="0"/>
        <v>115347.87000000002</v>
      </c>
      <c r="T20" s="263">
        <v>100655.77500000001</v>
      </c>
      <c r="U20" s="98"/>
      <c r="V20" s="226">
        <f>Tbl_Gas[[#This Row],[2024 Total]]/'2024 Asset list'!I21</f>
        <v>106.33848783370973</v>
      </c>
    </row>
    <row r="21" spans="1:22" ht="41.4" x14ac:dyDescent="0.3">
      <c r="A21" s="342" t="s">
        <v>456</v>
      </c>
      <c r="B21" s="343" t="s">
        <v>364</v>
      </c>
      <c r="C21" s="344" t="s">
        <v>871</v>
      </c>
      <c r="D21" s="343" t="s">
        <v>1205</v>
      </c>
      <c r="E21" s="341" t="s">
        <v>1130</v>
      </c>
      <c r="F21" s="343" t="s">
        <v>35</v>
      </c>
      <c r="G21" s="345">
        <v>40307.191616532458</v>
      </c>
      <c r="H21" s="345">
        <v>40307.191616532458</v>
      </c>
      <c r="I21" s="345">
        <v>40307.191616532458</v>
      </c>
      <c r="J21" s="345">
        <v>40307.191616532458</v>
      </c>
      <c r="K21" s="345">
        <v>40307.191616532458</v>
      </c>
      <c r="L21" s="345">
        <v>40307.191616532458</v>
      </c>
      <c r="M21" s="345">
        <v>40307.191616532458</v>
      </c>
      <c r="N21" s="345">
        <v>40307.191616532458</v>
      </c>
      <c r="O21" s="345">
        <v>40307.191616532458</v>
      </c>
      <c r="P21" s="345">
        <v>40307.191616532458</v>
      </c>
      <c r="Q21" s="345">
        <v>40307.191616532458</v>
      </c>
      <c r="R21" s="345">
        <v>40307.191616532458</v>
      </c>
      <c r="S21" s="346">
        <f t="shared" si="0"/>
        <v>483686.29939838947</v>
      </c>
      <c r="T21" s="346">
        <v>349772.11199999996</v>
      </c>
      <c r="U21" s="341" t="s">
        <v>1207</v>
      </c>
    </row>
    <row r="22" spans="1:22" ht="27.6" x14ac:dyDescent="0.3">
      <c r="A22" s="342" t="s">
        <v>835</v>
      </c>
      <c r="B22" s="343" t="s">
        <v>505</v>
      </c>
      <c r="C22" s="344" t="s">
        <v>865</v>
      </c>
      <c r="D22" s="343" t="s">
        <v>1205</v>
      </c>
      <c r="E22" s="341" t="s">
        <v>1130</v>
      </c>
      <c r="F22" s="343" t="s">
        <v>35</v>
      </c>
      <c r="G22" s="345">
        <v>13689.2770143088</v>
      </c>
      <c r="H22" s="345">
        <v>13689.2770143088</v>
      </c>
      <c r="I22" s="345">
        <v>13689.2770143088</v>
      </c>
      <c r="J22" s="345">
        <v>13689.2770143088</v>
      </c>
      <c r="K22" s="345">
        <v>13689.2770143088</v>
      </c>
      <c r="L22" s="345">
        <v>13689.2770143088</v>
      </c>
      <c r="M22" s="345">
        <v>13689.2770143088</v>
      </c>
      <c r="N22" s="345">
        <v>13689.2770143088</v>
      </c>
      <c r="O22" s="345">
        <v>13689.2770143088</v>
      </c>
      <c r="P22" s="345">
        <v>13689.2770143088</v>
      </c>
      <c r="Q22" s="345">
        <v>13689.2770143088</v>
      </c>
      <c r="R22" s="345">
        <v>13689.2770143088</v>
      </c>
      <c r="S22" s="346">
        <f t="shared" si="0"/>
        <v>164271.32417170564</v>
      </c>
      <c r="T22" s="346">
        <v>137765</v>
      </c>
      <c r="U22" s="341" t="s">
        <v>1206</v>
      </c>
    </row>
    <row r="23" spans="1:22" s="89" customFormat="1" x14ac:dyDescent="0.3">
      <c r="A23" s="185" t="s">
        <v>461</v>
      </c>
      <c r="B23" s="96" t="s">
        <v>364</v>
      </c>
      <c r="C23" s="97" t="s">
        <v>865</v>
      </c>
      <c r="D23" s="96" t="s">
        <v>1078</v>
      </c>
      <c r="E23" s="98" t="s">
        <v>1130</v>
      </c>
      <c r="F23" s="96" t="s">
        <v>35</v>
      </c>
      <c r="G23" s="188">
        <v>89814.137000000002</v>
      </c>
      <c r="H23" s="188">
        <v>67284.047000000006</v>
      </c>
      <c r="I23" s="188">
        <v>60763.807999999997</v>
      </c>
      <c r="J23" s="188">
        <v>66058.047000000006</v>
      </c>
      <c r="K23" s="188">
        <v>26246.780999999999</v>
      </c>
      <c r="L23" s="188">
        <v>21979.550999999999</v>
      </c>
      <c r="M23" s="188">
        <v>12006.835999999999</v>
      </c>
      <c r="N23" s="188">
        <v>7015.5029999999997</v>
      </c>
      <c r="O23" s="188">
        <v>38316.629999999997</v>
      </c>
      <c r="P23" s="188">
        <v>49342.887000000002</v>
      </c>
      <c r="Q23" s="188">
        <v>68598.486000000004</v>
      </c>
      <c r="R23" s="188">
        <v>74594.717999999993</v>
      </c>
      <c r="S23" s="210">
        <f t="shared" si="0"/>
        <v>582021.43099999998</v>
      </c>
      <c r="T23" s="263">
        <v>481189.88</v>
      </c>
      <c r="U23" s="98"/>
    </row>
    <row r="24" spans="1:22" s="89" customFormat="1" x14ac:dyDescent="0.3">
      <c r="A24" s="185" t="s">
        <v>462</v>
      </c>
      <c r="B24" s="96" t="s">
        <v>364</v>
      </c>
      <c r="C24" s="97" t="s">
        <v>865</v>
      </c>
      <c r="D24" s="96" t="s">
        <v>1078</v>
      </c>
      <c r="E24" s="98" t="s">
        <v>1130</v>
      </c>
      <c r="F24" s="96" t="s">
        <v>35</v>
      </c>
      <c r="G24" s="188">
        <v>67353.692999999999</v>
      </c>
      <c r="H24" s="188">
        <v>53637.754000000001</v>
      </c>
      <c r="I24" s="188">
        <v>49793.930999999997</v>
      </c>
      <c r="J24" s="188">
        <v>48805.614000000001</v>
      </c>
      <c r="K24" s="188">
        <v>16855.559000000001</v>
      </c>
      <c r="L24" s="188">
        <v>18068.292000000001</v>
      </c>
      <c r="M24" s="188">
        <v>11910.656999999999</v>
      </c>
      <c r="N24" s="188">
        <v>5772.9210000000003</v>
      </c>
      <c r="O24" s="188">
        <v>24590.741999999998</v>
      </c>
      <c r="P24" s="188">
        <v>32640.992999999999</v>
      </c>
      <c r="Q24" s="188">
        <v>48727</v>
      </c>
      <c r="R24" s="188">
        <v>45374.142</v>
      </c>
      <c r="S24" s="210">
        <f t="shared" si="0"/>
        <v>423531.29799999995</v>
      </c>
      <c r="T24" s="263">
        <v>450472.45699999994</v>
      </c>
      <c r="U24" s="98"/>
    </row>
    <row r="25" spans="1:22" x14ac:dyDescent="0.3">
      <c r="A25" s="342" t="s">
        <v>1096</v>
      </c>
      <c r="B25" s="343" t="s">
        <v>505</v>
      </c>
      <c r="C25" s="344" t="s">
        <v>872</v>
      </c>
      <c r="D25" s="343" t="s">
        <v>1205</v>
      </c>
      <c r="E25" s="341" t="s">
        <v>1130</v>
      </c>
      <c r="F25" s="343" t="s">
        <v>35</v>
      </c>
      <c r="G25" s="349">
        <v>1404</v>
      </c>
      <c r="H25" s="349">
        <v>632</v>
      </c>
      <c r="I25" s="349">
        <v>700</v>
      </c>
      <c r="J25" s="349">
        <v>930</v>
      </c>
      <c r="K25" s="349">
        <v>819</v>
      </c>
      <c r="L25" s="349">
        <v>117</v>
      </c>
      <c r="M25" s="349">
        <v>748</v>
      </c>
      <c r="N25" s="349">
        <v>914</v>
      </c>
      <c r="O25" s="349">
        <v>787</v>
      </c>
      <c r="P25" s="349">
        <v>825</v>
      </c>
      <c r="Q25" s="349">
        <v>610</v>
      </c>
      <c r="R25" s="345">
        <v>451</v>
      </c>
      <c r="S25" s="348">
        <f t="shared" si="0"/>
        <v>8937</v>
      </c>
      <c r="T25" s="346">
        <v>151724</v>
      </c>
      <c r="U25" s="341"/>
    </row>
    <row r="26" spans="1:22" s="89" customFormat="1" x14ac:dyDescent="0.3">
      <c r="A26" s="185" t="s">
        <v>459</v>
      </c>
      <c r="B26" s="96" t="s">
        <v>364</v>
      </c>
      <c r="C26" s="97" t="s">
        <v>865</v>
      </c>
      <c r="D26" s="96" t="s">
        <v>1078</v>
      </c>
      <c r="E26" s="98" t="s">
        <v>1130</v>
      </c>
      <c r="F26" s="96" t="s">
        <v>35</v>
      </c>
      <c r="G26" s="188">
        <v>110682.66</v>
      </c>
      <c r="H26" s="188">
        <v>94066.994999999995</v>
      </c>
      <c r="I26" s="188">
        <v>90971.595000000001</v>
      </c>
      <c r="J26" s="188">
        <v>76511.654999999999</v>
      </c>
      <c r="K26" s="188">
        <v>58668.885000000002</v>
      </c>
      <c r="L26" s="188">
        <v>34657.425000000003</v>
      </c>
      <c r="M26" s="188">
        <v>13840.86</v>
      </c>
      <c r="N26" s="188">
        <v>10601.745000000001</v>
      </c>
      <c r="O26" s="188">
        <v>38814.105000000003</v>
      </c>
      <c r="P26" s="188">
        <v>52533.36</v>
      </c>
      <c r="Q26" s="188">
        <v>86715.42</v>
      </c>
      <c r="R26" s="188">
        <v>80469.345000000001</v>
      </c>
      <c r="S26" s="210">
        <f t="shared" si="0"/>
        <v>748534.05</v>
      </c>
      <c r="T26" s="263">
        <v>696442.89199999999</v>
      </c>
      <c r="U26" s="98"/>
      <c r="V26" s="226">
        <f>Tbl_Gas[[#This Row],[2024 Total]]/'2024 Asset list'!I10</f>
        <v>547.19301291528768</v>
      </c>
    </row>
    <row r="27" spans="1:22" s="89" customFormat="1" ht="27.6" x14ac:dyDescent="0.3">
      <c r="A27" s="185" t="s">
        <v>516</v>
      </c>
      <c r="B27" s="96" t="s">
        <v>505</v>
      </c>
      <c r="C27" s="97" t="s">
        <v>1139</v>
      </c>
      <c r="D27" s="96" t="s">
        <v>1078</v>
      </c>
      <c r="E27" s="98" t="s">
        <v>1130</v>
      </c>
      <c r="F27" s="96" t="s">
        <v>35</v>
      </c>
      <c r="G27" s="189">
        <v>33223.199441868463</v>
      </c>
      <c r="H27" s="189">
        <v>33223.199441868463</v>
      </c>
      <c r="I27" s="189">
        <v>33223.199441868463</v>
      </c>
      <c r="J27" s="189">
        <v>33223.199441868463</v>
      </c>
      <c r="K27" s="189">
        <v>33223.199441868463</v>
      </c>
      <c r="L27" s="189">
        <v>33223.199441868463</v>
      </c>
      <c r="M27" s="189">
        <v>33223.199441868463</v>
      </c>
      <c r="N27" s="189">
        <v>33223.199441868463</v>
      </c>
      <c r="O27" s="189">
        <v>33223.199441868463</v>
      </c>
      <c r="P27" s="189">
        <v>33223.199441868463</v>
      </c>
      <c r="Q27" s="189">
        <v>33223.199441868463</v>
      </c>
      <c r="R27" s="189">
        <v>33223.199441868463</v>
      </c>
      <c r="S27" s="263">
        <f t="shared" si="0"/>
        <v>398678.39330242155</v>
      </c>
      <c r="T27" s="263">
        <v>89106.504000000001</v>
      </c>
      <c r="U27" s="98" t="s">
        <v>1206</v>
      </c>
    </row>
    <row r="28" spans="1:22" x14ac:dyDescent="0.3">
      <c r="A28" s="342" t="s">
        <v>1097</v>
      </c>
      <c r="B28" s="343" t="s">
        <v>505</v>
      </c>
      <c r="C28" s="344" t="s">
        <v>865</v>
      </c>
      <c r="D28" s="343" t="s">
        <v>1205</v>
      </c>
      <c r="E28" s="341" t="s">
        <v>1130</v>
      </c>
      <c r="F28" s="343" t="s">
        <v>35</v>
      </c>
      <c r="G28" s="349">
        <v>144352</v>
      </c>
      <c r="H28" s="349">
        <v>103966</v>
      </c>
      <c r="I28" s="349">
        <v>95170</v>
      </c>
      <c r="J28" s="349">
        <v>85330</v>
      </c>
      <c r="K28" s="349">
        <v>70047</v>
      </c>
      <c r="L28" s="349">
        <v>58629</v>
      </c>
      <c r="M28" s="349">
        <v>68495</v>
      </c>
      <c r="N28" s="349">
        <v>60746</v>
      </c>
      <c r="O28" s="349">
        <v>72325</v>
      </c>
      <c r="P28" s="349">
        <v>82898</v>
      </c>
      <c r="Q28" s="349">
        <v>141314</v>
      </c>
      <c r="R28" s="349">
        <v>124051</v>
      </c>
      <c r="S28" s="348">
        <f t="shared" si="0"/>
        <v>1107323</v>
      </c>
      <c r="T28" s="346">
        <v>1013629</v>
      </c>
      <c r="U28" s="341"/>
      <c r="V28" s="350">
        <f>Tbl_Gas[[#This Row],[2024 Total]]/'2024 Asset list'!I18</f>
        <v>176.90318695702783</v>
      </c>
    </row>
    <row r="29" spans="1:22" x14ac:dyDescent="0.3">
      <c r="A29" s="342" t="s">
        <v>839</v>
      </c>
      <c r="B29" s="343" t="s">
        <v>505</v>
      </c>
      <c r="C29" s="344" t="s">
        <v>865</v>
      </c>
      <c r="D29" s="343" t="s">
        <v>1205</v>
      </c>
      <c r="E29" s="341" t="s">
        <v>1130</v>
      </c>
      <c r="F29" s="343" t="s">
        <v>35</v>
      </c>
      <c r="G29" s="349">
        <v>10681.33</v>
      </c>
      <c r="H29" s="349">
        <v>10681.33</v>
      </c>
      <c r="I29" s="349">
        <v>10681.33</v>
      </c>
      <c r="J29" s="349">
        <v>10632.33</v>
      </c>
      <c r="K29" s="349">
        <v>10632.33</v>
      </c>
      <c r="L29" s="349">
        <v>10632.33</v>
      </c>
      <c r="M29" s="349">
        <v>1368</v>
      </c>
      <c r="N29" s="349">
        <v>1368</v>
      </c>
      <c r="O29" s="349">
        <v>1368</v>
      </c>
      <c r="P29" s="349">
        <v>7401.33</v>
      </c>
      <c r="Q29" s="349">
        <v>7401.33</v>
      </c>
      <c r="R29" s="349">
        <v>7401.33</v>
      </c>
      <c r="S29" s="348">
        <f t="shared" si="0"/>
        <v>90248.970000000016</v>
      </c>
      <c r="T29" s="346">
        <v>114206</v>
      </c>
      <c r="U29" s="341"/>
      <c r="V29" s="350">
        <f>Tbl_Gas[[#This Row],[2024 Total]]/'2024 Asset list'!I16</f>
        <v>17.361127966799955</v>
      </c>
    </row>
    <row r="30" spans="1:22" ht="27.6" x14ac:dyDescent="0.3">
      <c r="A30" s="342" t="s">
        <v>514</v>
      </c>
      <c r="B30" s="343" t="s">
        <v>505</v>
      </c>
      <c r="C30" s="344" t="s">
        <v>865</v>
      </c>
      <c r="D30" s="343" t="s">
        <v>1205</v>
      </c>
      <c r="E30" s="341" t="s">
        <v>1130</v>
      </c>
      <c r="F30" s="343" t="s">
        <v>35</v>
      </c>
      <c r="G30" s="345">
        <v>5756.8673055401814</v>
      </c>
      <c r="H30" s="345">
        <v>5756.8673055401814</v>
      </c>
      <c r="I30" s="345">
        <v>5756.8673055401814</v>
      </c>
      <c r="J30" s="345">
        <v>5756.8673055401814</v>
      </c>
      <c r="K30" s="345">
        <v>5756.8673055401814</v>
      </c>
      <c r="L30" s="345">
        <v>5756.8673055401814</v>
      </c>
      <c r="M30" s="345">
        <v>5756.8673055401814</v>
      </c>
      <c r="N30" s="345">
        <v>5756.8673055401814</v>
      </c>
      <c r="O30" s="345">
        <v>5756.8673055401814</v>
      </c>
      <c r="P30" s="345">
        <v>5756.8673055401814</v>
      </c>
      <c r="Q30" s="345">
        <v>5756.8673055401814</v>
      </c>
      <c r="R30" s="345">
        <v>5756.8673055401814</v>
      </c>
      <c r="S30" s="346">
        <f t="shared" si="0"/>
        <v>69082.407666482177</v>
      </c>
      <c r="T30" s="346">
        <v>41249.171999999991</v>
      </c>
      <c r="U30" s="341" t="s">
        <v>1206</v>
      </c>
    </row>
    <row r="31" spans="1:22" ht="41.4" x14ac:dyDescent="0.3">
      <c r="A31" s="342" t="s">
        <v>837</v>
      </c>
      <c r="B31" s="351" t="s">
        <v>364</v>
      </c>
      <c r="C31" s="352" t="s">
        <v>871</v>
      </c>
      <c r="D31" s="343" t="s">
        <v>1205</v>
      </c>
      <c r="E31" s="353" t="s">
        <v>1130</v>
      </c>
      <c r="F31" s="351" t="s">
        <v>35</v>
      </c>
      <c r="G31" s="345">
        <v>108995.49701357655</v>
      </c>
      <c r="H31" s="345">
        <v>108995.49701357655</v>
      </c>
      <c r="I31" s="345">
        <v>108995.49701357655</v>
      </c>
      <c r="J31" s="345">
        <v>108995.49701357655</v>
      </c>
      <c r="K31" s="345">
        <v>108995.49701357655</v>
      </c>
      <c r="L31" s="345">
        <v>108995.49701357655</v>
      </c>
      <c r="M31" s="345">
        <v>108995.49701357655</v>
      </c>
      <c r="N31" s="345">
        <v>108995.49701357655</v>
      </c>
      <c r="O31" s="345">
        <v>108995.49701357655</v>
      </c>
      <c r="P31" s="345">
        <v>108995.49701357655</v>
      </c>
      <c r="Q31" s="345">
        <v>108995.49701357655</v>
      </c>
      <c r="R31" s="345">
        <v>108995.49701357655</v>
      </c>
      <c r="S31" s="354">
        <f t="shared" si="0"/>
        <v>1307945.9641629185</v>
      </c>
      <c r="T31" s="354">
        <v>975747.30000000016</v>
      </c>
      <c r="U31" s="341" t="s">
        <v>1207</v>
      </c>
    </row>
    <row r="32" spans="1:22" x14ac:dyDescent="0.3">
      <c r="S32" s="355"/>
      <c r="T32" s="355"/>
    </row>
    <row r="33" spans="17:21" x14ac:dyDescent="0.3">
      <c r="S33" s="355"/>
      <c r="T33" s="355"/>
    </row>
    <row r="34" spans="17:21" x14ac:dyDescent="0.3">
      <c r="S34" s="355"/>
      <c r="T34" s="355"/>
    </row>
    <row r="35" spans="17:21" ht="27.6" x14ac:dyDescent="0.3">
      <c r="Q35" s="356" t="s">
        <v>614</v>
      </c>
      <c r="R35" s="357" t="s">
        <v>1208</v>
      </c>
      <c r="S35" s="358">
        <f>SUM(Tbl_Gas[2024 Total])-S12</f>
        <v>6978849.7299922276</v>
      </c>
      <c r="T35" s="358">
        <f>SUM(Tbl_Gas[2023 Total])-T12</f>
        <v>6194044.2570000002</v>
      </c>
    </row>
    <row r="36" spans="17:21" x14ac:dyDescent="0.3">
      <c r="Q36" s="359"/>
      <c r="S36" s="360"/>
      <c r="T36" s="360"/>
    </row>
    <row r="37" spans="17:21" x14ac:dyDescent="0.3">
      <c r="Q37" s="361"/>
      <c r="R37" s="362"/>
      <c r="S37" s="363"/>
      <c r="T37" s="363"/>
    </row>
    <row r="38" spans="17:21" x14ac:dyDescent="0.3">
      <c r="S38" s="355"/>
      <c r="T38" s="355"/>
    </row>
    <row r="39" spans="17:21" ht="41.4" x14ac:dyDescent="0.3">
      <c r="Q39" s="364" t="s">
        <v>624</v>
      </c>
      <c r="R39" s="365" t="s">
        <v>1078</v>
      </c>
      <c r="S39" s="366">
        <f>SUMIFS(Tbl_Gas[2024 Total], Tbl_Gas[Office/resi], "Office", Tbl_Gas[Source], "Natural Gas - Whole Building", Tbl_Gas[Managed], "yes")</f>
        <v>3207463.3618999999</v>
      </c>
      <c r="T39" s="366">
        <f>SUMIFS(Tbl_Gas[2023 Total], Tbl_Gas[Office/resi], "Office", Tbl_Gas[Source], "Natural Gas - Whole Building", Tbl_Gas[Managed], "yes")</f>
        <v>3228935.7289999998</v>
      </c>
      <c r="U39" s="367">
        <f>S35-S39</f>
        <v>3771386.3680922277</v>
      </c>
    </row>
    <row r="40" spans="17:21" x14ac:dyDescent="0.3">
      <c r="S40" s="355"/>
      <c r="T40" s="355"/>
    </row>
    <row r="41" spans="17:21" ht="55.2" x14ac:dyDescent="0.3">
      <c r="Q41" s="364" t="s">
        <v>635</v>
      </c>
      <c r="R41" s="365" t="s">
        <v>1205</v>
      </c>
      <c r="S41" s="366">
        <f>SUMIFS(Tbl_Gas[2024 Total], Tbl_Gas[Office/resi], "Residential", Tbl_Gas[Source], "Natural Gas - Whole Building - Tenant Control", Tbl_Gas[Managed], "yes")</f>
        <v>1791632.2635613079</v>
      </c>
      <c r="T41" s="366">
        <f>SUMIFS(Tbl_Gas[2023 Total], Tbl_Gas[Office/resi], "Residential", Tbl_Gas[Source], "Natural Gas - Whole Building - Tenant Control", Tbl_Gas[Managed], "yes")</f>
        <v>1325519.412</v>
      </c>
    </row>
  </sheetData>
  <mergeCells count="21">
    <mergeCell ref="A9:E9"/>
    <mergeCell ref="G9:H9"/>
    <mergeCell ref="I9:R9"/>
    <mergeCell ref="A7:E7"/>
    <mergeCell ref="G7:H7"/>
    <mergeCell ref="I7:R7"/>
    <mergeCell ref="A8:E8"/>
    <mergeCell ref="G8:H8"/>
    <mergeCell ref="I8:R8"/>
    <mergeCell ref="A5:E5"/>
    <mergeCell ref="G5:H5"/>
    <mergeCell ref="I5:R5"/>
    <mergeCell ref="A6:E6"/>
    <mergeCell ref="G6:H6"/>
    <mergeCell ref="I6:R6"/>
    <mergeCell ref="A4:E4"/>
    <mergeCell ref="G4:H4"/>
    <mergeCell ref="I4:R4"/>
    <mergeCell ref="A1:S1"/>
    <mergeCell ref="A2:S2"/>
    <mergeCell ref="A3:S3"/>
  </mergeCells>
  <phoneticPr fontId="3" type="noConversion"/>
  <pageMargins left="0.7" right="0.7" top="0.75" bottom="0.75" header="0.3" footer="0.3"/>
  <pageSetup paperSize="9" orientation="portrait" r:id="rId1"/>
  <headerFooter alignWithMargins="0"/>
  <legacyDrawing r:id="rId2"/>
  <tableParts count="1">
    <tablePart r:id="rId3"/>
  </tablePar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7F7DE-793B-4E97-96BE-F61C7E4DC33C}">
  <dimension ref="A1:AG34"/>
  <sheetViews>
    <sheetView topLeftCell="A2" workbookViewId="0">
      <selection activeCell="Q1" sqref="Q1"/>
    </sheetView>
  </sheetViews>
  <sheetFormatPr defaultRowHeight="14.4" x14ac:dyDescent="0.3"/>
  <cols>
    <col min="2" max="2" width="0" hidden="1" customWidth="1"/>
    <col min="3" max="3" width="9.21875" customWidth="1"/>
    <col min="4" max="4" width="22.88671875" customWidth="1"/>
    <col min="5" max="5" width="7.88671875" customWidth="1"/>
    <col min="6" max="6" width="6.44140625" customWidth="1"/>
    <col min="7" max="19" width="11.109375" customWidth="1"/>
    <col min="20" max="20" width="12.88671875" customWidth="1"/>
    <col min="21" max="21" width="13.5546875" customWidth="1"/>
    <col min="23" max="23" width="30.44140625" bestFit="1" customWidth="1"/>
    <col min="24" max="24" width="30.109375" customWidth="1"/>
    <col min="25" max="25" width="16.44140625" customWidth="1"/>
    <col min="32" max="32" width="11.88671875" customWidth="1"/>
  </cols>
  <sheetData>
    <row r="1" spans="1:33" ht="87.75" customHeight="1" x14ac:dyDescent="0.3">
      <c r="W1" s="216" t="s">
        <v>1209</v>
      </c>
      <c r="X1" s="234" t="s">
        <v>1210</v>
      </c>
      <c r="Y1" s="237" t="s">
        <v>1211</v>
      </c>
      <c r="AE1" s="202" t="s">
        <v>849</v>
      </c>
      <c r="AF1" s="202" t="s">
        <v>850</v>
      </c>
      <c r="AG1" t="s">
        <v>851</v>
      </c>
    </row>
    <row r="2" spans="1:33" s="146" customFormat="1" ht="86.4" x14ac:dyDescent="0.3">
      <c r="A2"/>
      <c r="B2"/>
      <c r="C2"/>
      <c r="D2"/>
      <c r="E2"/>
      <c r="F2"/>
      <c r="G2" t="s">
        <v>1212</v>
      </c>
      <c r="H2"/>
      <c r="I2"/>
      <c r="J2"/>
      <c r="K2"/>
      <c r="L2"/>
      <c r="M2"/>
      <c r="N2"/>
      <c r="O2"/>
      <c r="P2"/>
      <c r="Q2"/>
      <c r="R2"/>
      <c r="S2" s="228" t="s">
        <v>1213</v>
      </c>
      <c r="T2" s="228" t="s">
        <v>1214</v>
      </c>
      <c r="U2" s="265" t="s">
        <v>1207</v>
      </c>
      <c r="V2">
        <v>2023</v>
      </c>
      <c r="W2" s="217">
        <v>4.197091943543402</v>
      </c>
      <c r="X2" s="235">
        <v>5.1242564289999999</v>
      </c>
      <c r="Y2" s="266">
        <v>5.3072203581259521</v>
      </c>
      <c r="AA2" s="211" t="s">
        <v>840</v>
      </c>
      <c r="AB2" s="211"/>
      <c r="AC2" s="211" t="s">
        <v>869</v>
      </c>
      <c r="AD2" s="211" t="s">
        <v>865</v>
      </c>
      <c r="AE2" s="212"/>
      <c r="AF2" s="212">
        <v>566.3184</v>
      </c>
      <c r="AG2" s="215">
        <f t="shared" ref="AG2:AG8" si="0">SUM(AE2:AF2)</f>
        <v>566.3184</v>
      </c>
    </row>
    <row r="3" spans="1:33" s="146" customFormat="1" x14ac:dyDescent="0.3">
      <c r="A3" s="185"/>
      <c r="B3" s="96"/>
      <c r="C3" s="97"/>
      <c r="D3" s="96"/>
      <c r="E3" s="98"/>
      <c r="F3" s="96"/>
      <c r="G3" s="189">
        <v>12</v>
      </c>
      <c r="H3" s="189"/>
      <c r="I3" s="189"/>
      <c r="J3" s="189"/>
      <c r="K3" s="189"/>
      <c r="L3" s="189"/>
      <c r="M3" s="189"/>
      <c r="N3" s="189"/>
      <c r="O3" s="189"/>
      <c r="P3" s="189"/>
      <c r="Q3" s="189"/>
      <c r="R3" s="189"/>
      <c r="S3" s="229"/>
      <c r="T3" s="231"/>
      <c r="U3" s="267"/>
      <c r="V3" s="268"/>
      <c r="AA3" s="211" t="s">
        <v>517</v>
      </c>
      <c r="AB3" s="211"/>
      <c r="AC3" s="211" t="s">
        <v>869</v>
      </c>
      <c r="AD3" s="211" t="s">
        <v>871</v>
      </c>
      <c r="AE3" s="212">
        <v>341.98812499999997</v>
      </c>
      <c r="AF3" s="212">
        <v>1367.9524999999999</v>
      </c>
      <c r="AG3" s="215">
        <f t="shared" si="0"/>
        <v>1709.9406249999997</v>
      </c>
    </row>
    <row r="4" spans="1:33" ht="27.6" x14ac:dyDescent="0.3">
      <c r="A4" s="269" t="s">
        <v>517</v>
      </c>
      <c r="B4" s="258" t="s">
        <v>505</v>
      </c>
      <c r="C4" s="259" t="s">
        <v>871</v>
      </c>
      <c r="D4" s="258" t="s">
        <v>1205</v>
      </c>
      <c r="E4" s="260" t="s">
        <v>1130</v>
      </c>
      <c r="F4" s="258" t="s">
        <v>35</v>
      </c>
      <c r="G4" s="189">
        <v>10755.12</v>
      </c>
      <c r="H4" s="189">
        <v>10755.12</v>
      </c>
      <c r="I4" s="189">
        <v>10755.12</v>
      </c>
      <c r="J4" s="189">
        <v>10755.12</v>
      </c>
      <c r="K4" s="189">
        <v>10755.12</v>
      </c>
      <c r="L4" s="189">
        <v>10755.12</v>
      </c>
      <c r="M4" s="189">
        <v>10755.12</v>
      </c>
      <c r="N4" s="189">
        <v>10755.12</v>
      </c>
      <c r="O4" s="189">
        <v>10755.12</v>
      </c>
      <c r="P4" s="189">
        <v>10755.12</v>
      </c>
      <c r="Q4" s="189">
        <v>10755.12</v>
      </c>
      <c r="R4" s="189">
        <v>10755.12</v>
      </c>
      <c r="S4" s="229">
        <f t="shared" ref="S4" si="1">SUM(G4:R4)</f>
        <v>129061.43999999999</v>
      </c>
      <c r="T4" s="231">
        <f t="shared" ref="T4" si="2">($W$2*AG3)*12</f>
        <v>86121.33625350082</v>
      </c>
      <c r="U4" s="267">
        <f>($X$2*AG3)*12</f>
        <v>105146.09089037431</v>
      </c>
      <c r="V4" s="268">
        <v>65012.544000000002</v>
      </c>
      <c r="AA4" s="213" t="s">
        <v>456</v>
      </c>
      <c r="AB4" s="213"/>
      <c r="AC4" s="213" t="s">
        <v>864</v>
      </c>
      <c r="AD4" s="213" t="s">
        <v>871</v>
      </c>
      <c r="AE4" s="214">
        <v>1573.1918249999999</v>
      </c>
      <c r="AF4" s="212">
        <v>6292.7672999999995</v>
      </c>
      <c r="AG4" s="215">
        <f t="shared" si="0"/>
        <v>7865.9591249999994</v>
      </c>
    </row>
    <row r="5" spans="1:33" x14ac:dyDescent="0.3">
      <c r="G5" s="232">
        <f>$U$4/$G$3</f>
        <v>8762.1742408645259</v>
      </c>
      <c r="H5" s="232">
        <f t="shared" ref="H5:R5" si="3">$U$4/$G$3</f>
        <v>8762.1742408645259</v>
      </c>
      <c r="I5" s="232">
        <f t="shared" si="3"/>
        <v>8762.1742408645259</v>
      </c>
      <c r="J5" s="232">
        <f t="shared" si="3"/>
        <v>8762.1742408645259</v>
      </c>
      <c r="K5" s="232">
        <f t="shared" si="3"/>
        <v>8762.1742408645259</v>
      </c>
      <c r="L5" s="232">
        <f t="shared" si="3"/>
        <v>8762.1742408645259</v>
      </c>
      <c r="M5" s="232">
        <f t="shared" si="3"/>
        <v>8762.1742408645259</v>
      </c>
      <c r="N5" s="232">
        <f t="shared" si="3"/>
        <v>8762.1742408645259</v>
      </c>
      <c r="O5" s="232">
        <f t="shared" si="3"/>
        <v>8762.1742408645259</v>
      </c>
      <c r="P5" s="232">
        <f t="shared" si="3"/>
        <v>8762.1742408645259</v>
      </c>
      <c r="Q5" s="232">
        <f t="shared" si="3"/>
        <v>8762.1742408645259</v>
      </c>
      <c r="R5" s="232">
        <f t="shared" si="3"/>
        <v>8762.1742408645259</v>
      </c>
      <c r="AA5" s="211" t="s">
        <v>835</v>
      </c>
      <c r="AB5" s="211"/>
      <c r="AC5" s="211" t="s">
        <v>869</v>
      </c>
      <c r="AD5" s="211" t="s">
        <v>865</v>
      </c>
      <c r="AE5" s="212">
        <v>515.87369999999999</v>
      </c>
      <c r="AF5" s="212">
        <v>2063.4947999999999</v>
      </c>
      <c r="AG5" s="215">
        <f t="shared" si="0"/>
        <v>2579.3685</v>
      </c>
    </row>
    <row r="6" spans="1:33" ht="27.6" x14ac:dyDescent="0.3">
      <c r="A6" s="269" t="s">
        <v>456</v>
      </c>
      <c r="B6" s="258" t="s">
        <v>364</v>
      </c>
      <c r="C6" s="259" t="s">
        <v>871</v>
      </c>
      <c r="D6" s="258" t="s">
        <v>1205</v>
      </c>
      <c r="E6" s="260" t="s">
        <v>1130</v>
      </c>
      <c r="F6" s="258" t="s">
        <v>35</v>
      </c>
      <c r="G6" s="189">
        <v>59373.294000000002</v>
      </c>
      <c r="H6" s="189">
        <v>59373.294000000002</v>
      </c>
      <c r="I6" s="189">
        <v>59373.294000000002</v>
      </c>
      <c r="J6" s="189">
        <v>59373.294000000002</v>
      </c>
      <c r="K6" s="189">
        <v>59373.294000000002</v>
      </c>
      <c r="L6" s="189">
        <v>59373.294000000002</v>
      </c>
      <c r="M6" s="189">
        <v>59373.294000000002</v>
      </c>
      <c r="N6" s="189">
        <v>59373.294000000002</v>
      </c>
      <c r="O6" s="189">
        <v>59373.294000000002</v>
      </c>
      <c r="P6" s="189">
        <v>59373.294000000002</v>
      </c>
      <c r="Q6" s="189">
        <v>59373.294000000002</v>
      </c>
      <c r="R6" s="189">
        <v>59373.294000000002</v>
      </c>
      <c r="S6" s="229">
        <f>SUM(G6:R6)</f>
        <v>712479.52800000005</v>
      </c>
      <c r="T6" s="231">
        <f>($W$2*AG4)*12</f>
        <v>396169.84406135045</v>
      </c>
      <c r="U6" s="267">
        <f>($X$2*AG4)*12</f>
        <v>483686.29939838953</v>
      </c>
      <c r="V6" s="268">
        <v>349772.11199999996</v>
      </c>
      <c r="AA6" s="213" t="s">
        <v>875</v>
      </c>
      <c r="AB6" s="213"/>
      <c r="AC6" s="213" t="s">
        <v>869</v>
      </c>
      <c r="AD6" s="213" t="s">
        <v>876</v>
      </c>
      <c r="AE6" s="214">
        <v>1252</v>
      </c>
      <c r="AF6" s="212">
        <v>5008</v>
      </c>
      <c r="AG6" s="215">
        <f t="shared" si="0"/>
        <v>6260</v>
      </c>
    </row>
    <row r="7" spans="1:33" x14ac:dyDescent="0.3">
      <c r="A7" s="185"/>
      <c r="B7" s="96"/>
      <c r="C7" s="97"/>
      <c r="D7" s="96"/>
      <c r="E7" s="98"/>
      <c r="F7" s="96"/>
      <c r="G7" s="270">
        <f>$U$6/$G$3</f>
        <v>40307.191616532458</v>
      </c>
      <c r="H7" s="270">
        <f t="shared" ref="H7:R7" si="4">$U$6/$G$3</f>
        <v>40307.191616532458</v>
      </c>
      <c r="I7" s="270">
        <f t="shared" si="4"/>
        <v>40307.191616532458</v>
      </c>
      <c r="J7" s="270">
        <f t="shared" si="4"/>
        <v>40307.191616532458</v>
      </c>
      <c r="K7" s="270">
        <f t="shared" si="4"/>
        <v>40307.191616532458</v>
      </c>
      <c r="L7" s="270">
        <f t="shared" si="4"/>
        <v>40307.191616532458</v>
      </c>
      <c r="M7" s="270">
        <f t="shared" si="4"/>
        <v>40307.191616532458</v>
      </c>
      <c r="N7" s="270">
        <f t="shared" si="4"/>
        <v>40307.191616532458</v>
      </c>
      <c r="O7" s="270">
        <f t="shared" si="4"/>
        <v>40307.191616532458</v>
      </c>
      <c r="P7" s="270">
        <f t="shared" si="4"/>
        <v>40307.191616532458</v>
      </c>
      <c r="Q7" s="270">
        <f t="shared" si="4"/>
        <v>40307.191616532458</v>
      </c>
      <c r="R7" s="270">
        <f t="shared" si="4"/>
        <v>40307.191616532458</v>
      </c>
      <c r="S7" s="230"/>
      <c r="T7" s="231"/>
      <c r="U7" s="267"/>
      <c r="V7" s="268"/>
      <c r="AA7" s="211" t="s">
        <v>514</v>
      </c>
      <c r="AB7" s="211"/>
      <c r="AC7" s="211" t="s">
        <v>869</v>
      </c>
      <c r="AD7" s="211" t="s">
        <v>865</v>
      </c>
      <c r="AE7" s="212">
        <v>216.94472499999998</v>
      </c>
      <c r="AF7" s="212">
        <v>867.77890000000002</v>
      </c>
      <c r="AG7" s="215">
        <f t="shared" si="0"/>
        <v>1084.7236250000001</v>
      </c>
    </row>
    <row r="8" spans="1:33" x14ac:dyDescent="0.3">
      <c r="U8" s="267"/>
      <c r="V8" s="268"/>
      <c r="AA8" s="213" t="s">
        <v>837</v>
      </c>
      <c r="AB8" s="213"/>
      <c r="AC8" s="213" t="s">
        <v>864</v>
      </c>
      <c r="AD8" s="213" t="s">
        <v>871</v>
      </c>
      <c r="AE8" s="212">
        <v>4254.1000249999997</v>
      </c>
      <c r="AF8" s="212">
        <v>17016.400099999999</v>
      </c>
      <c r="AG8" s="215">
        <f t="shared" si="0"/>
        <v>21270.500124999999</v>
      </c>
    </row>
    <row r="9" spans="1:33" ht="27.6" x14ac:dyDescent="0.3">
      <c r="A9" s="185" t="s">
        <v>837</v>
      </c>
      <c r="B9" s="96" t="s">
        <v>364</v>
      </c>
      <c r="C9" s="97" t="s">
        <v>871</v>
      </c>
      <c r="D9" s="96" t="s">
        <v>1205</v>
      </c>
      <c r="E9" s="98" t="s">
        <v>1130</v>
      </c>
      <c r="F9" s="96" t="s">
        <v>35</v>
      </c>
      <c r="G9" s="189">
        <v>160540.60800000001</v>
      </c>
      <c r="H9" s="189">
        <v>160540.60800000001</v>
      </c>
      <c r="I9" s="189">
        <v>160540.60800000001</v>
      </c>
      <c r="J9" s="189">
        <v>160540.60800000001</v>
      </c>
      <c r="K9" s="189">
        <v>160540.60800000001</v>
      </c>
      <c r="L9" s="189">
        <v>160540.60800000001</v>
      </c>
      <c r="M9" s="189">
        <v>160540.60800000001</v>
      </c>
      <c r="N9" s="189">
        <v>160540.60800000001</v>
      </c>
      <c r="O9" s="189">
        <v>160540.60800000001</v>
      </c>
      <c r="P9" s="189">
        <v>160540.60800000001</v>
      </c>
      <c r="Q9" s="189">
        <v>160540.60800000001</v>
      </c>
      <c r="R9" s="189">
        <v>160540.60800000001</v>
      </c>
      <c r="S9" s="229">
        <f>SUM(G9:R9)</f>
        <v>1926487.2960000001</v>
      </c>
      <c r="T9" s="231">
        <f>($W$2*AG8)*12</f>
        <v>1071290.9365173171</v>
      </c>
      <c r="U9" s="267">
        <f>($X$2*AG8)*12</f>
        <v>1307945.9641629185</v>
      </c>
      <c r="V9" s="268">
        <v>975747.30000000016</v>
      </c>
    </row>
    <row r="10" spans="1:33" x14ac:dyDescent="0.3">
      <c r="G10" s="233">
        <f>$U$9/$G$3</f>
        <v>108995.49701357655</v>
      </c>
      <c r="H10" s="233">
        <f t="shared" ref="H10:R10" si="5">$U$9/$G$3</f>
        <v>108995.49701357655</v>
      </c>
      <c r="I10" s="233">
        <f t="shared" si="5"/>
        <v>108995.49701357655</v>
      </c>
      <c r="J10" s="233">
        <f t="shared" si="5"/>
        <v>108995.49701357655</v>
      </c>
      <c r="K10" s="233">
        <f t="shared" si="5"/>
        <v>108995.49701357655</v>
      </c>
      <c r="L10" s="233">
        <f t="shared" si="5"/>
        <v>108995.49701357655</v>
      </c>
      <c r="M10" s="233">
        <f t="shared" si="5"/>
        <v>108995.49701357655</v>
      </c>
      <c r="N10" s="233">
        <f t="shared" si="5"/>
        <v>108995.49701357655</v>
      </c>
      <c r="O10" s="233">
        <f t="shared" si="5"/>
        <v>108995.49701357655</v>
      </c>
      <c r="P10" s="233">
        <f t="shared" si="5"/>
        <v>108995.49701357655</v>
      </c>
      <c r="Q10" s="233">
        <f t="shared" si="5"/>
        <v>108995.49701357655</v>
      </c>
      <c r="R10" s="233">
        <f t="shared" si="5"/>
        <v>108995.49701357655</v>
      </c>
    </row>
    <row r="13" spans="1:33" ht="41.4" x14ac:dyDescent="0.3">
      <c r="A13" s="185" t="s">
        <v>840</v>
      </c>
      <c r="B13" s="96" t="s">
        <v>505</v>
      </c>
      <c r="C13" s="97" t="s">
        <v>1204</v>
      </c>
      <c r="D13" s="96" t="s">
        <v>1205</v>
      </c>
      <c r="E13" s="98" t="s">
        <v>1130</v>
      </c>
      <c r="F13" s="96" t="s">
        <v>35</v>
      </c>
      <c r="G13" s="189">
        <v>4449.8519999999999</v>
      </c>
      <c r="H13" s="189">
        <v>4449.8519999999999</v>
      </c>
      <c r="I13" s="189">
        <v>4449.8519999999999</v>
      </c>
      <c r="J13" s="189">
        <v>4449.8519999999999</v>
      </c>
      <c r="K13" s="189">
        <v>4449.8519999999999</v>
      </c>
      <c r="L13" s="189">
        <v>4449.8519999999999</v>
      </c>
      <c r="M13" s="189">
        <v>4449.8519999999999</v>
      </c>
      <c r="N13" s="189">
        <v>4449.8519999999999</v>
      </c>
      <c r="O13" s="189">
        <v>4449.8519999999999</v>
      </c>
      <c r="P13" s="189">
        <v>4449.8519999999999</v>
      </c>
      <c r="Q13" s="189">
        <v>4449.8519999999999</v>
      </c>
      <c r="R13" s="189">
        <v>4449.8519999999999</v>
      </c>
      <c r="S13" s="236">
        <f t="shared" ref="S13:S19" si="6">SUM(G13:R13)</f>
        <v>53398.223999999995</v>
      </c>
      <c r="T13" s="238">
        <f>($Y$2*AG2)*12</f>
        <v>36066.918499935797</v>
      </c>
    </row>
    <row r="14" spans="1:33" x14ac:dyDescent="0.3">
      <c r="A14" s="185"/>
      <c r="B14" s="96"/>
      <c r="C14" s="97"/>
      <c r="D14" s="96"/>
      <c r="E14" s="98"/>
      <c r="F14" s="96"/>
      <c r="G14" s="271">
        <f>T13/12</f>
        <v>3005.5765416613162</v>
      </c>
      <c r="H14" s="271">
        <v>3005.5765416613162</v>
      </c>
      <c r="I14" s="271">
        <v>3005.5765416613162</v>
      </c>
      <c r="J14" s="271">
        <v>3005.5765416613162</v>
      </c>
      <c r="K14" s="271">
        <v>3005.5765416613162</v>
      </c>
      <c r="L14" s="271">
        <v>3005.5765416613162</v>
      </c>
      <c r="M14" s="271">
        <v>3005.5765416613162</v>
      </c>
      <c r="N14" s="271">
        <v>3005.5765416613162</v>
      </c>
      <c r="O14" s="271">
        <v>3005.5765416613162</v>
      </c>
      <c r="P14" s="271">
        <v>3005.5765416613162</v>
      </c>
      <c r="Q14" s="271">
        <v>3005.5765416613162</v>
      </c>
      <c r="R14" s="271">
        <v>3005.5765416613162</v>
      </c>
      <c r="S14" s="236"/>
      <c r="T14" s="238"/>
    </row>
    <row r="15" spans="1:33" ht="27.6" x14ac:dyDescent="0.3">
      <c r="A15" s="185" t="s">
        <v>835</v>
      </c>
      <c r="B15" s="96" t="s">
        <v>505</v>
      </c>
      <c r="C15" s="97" t="s">
        <v>865</v>
      </c>
      <c r="D15" s="96" t="s">
        <v>1205</v>
      </c>
      <c r="E15" s="98" t="s">
        <v>1130</v>
      </c>
      <c r="F15" s="96" t="s">
        <v>35</v>
      </c>
      <c r="G15" s="189">
        <v>16986</v>
      </c>
      <c r="H15" s="189">
        <v>19777</v>
      </c>
      <c r="I15" s="189">
        <v>28298</v>
      </c>
      <c r="J15" s="189">
        <v>15875</v>
      </c>
      <c r="K15" s="189">
        <v>13591</v>
      </c>
      <c r="L15" s="189">
        <v>4387</v>
      </c>
      <c r="M15" s="189">
        <v>4536</v>
      </c>
      <c r="N15" s="189">
        <v>3829</v>
      </c>
      <c r="O15" s="189">
        <v>3485</v>
      </c>
      <c r="P15" s="189">
        <v>6433</v>
      </c>
      <c r="Q15" s="189">
        <v>20568</v>
      </c>
      <c r="R15" s="189">
        <v>13349.416999999999</v>
      </c>
      <c r="S15" s="236">
        <f t="shared" si="6"/>
        <v>151114.41699999999</v>
      </c>
      <c r="T15" s="238">
        <f>($Y$2*AG5)*12</f>
        <v>164271.32417170561</v>
      </c>
    </row>
    <row r="16" spans="1:33" x14ac:dyDescent="0.3">
      <c r="A16" s="185"/>
      <c r="B16" s="96"/>
      <c r="C16" s="97"/>
      <c r="D16" s="96"/>
      <c r="E16" s="98"/>
      <c r="F16" s="96"/>
      <c r="G16" s="271">
        <f>T15/12</f>
        <v>13689.2770143088</v>
      </c>
      <c r="H16" s="271">
        <v>13689.2770143088</v>
      </c>
      <c r="I16" s="271">
        <v>13689.2770143088</v>
      </c>
      <c r="J16" s="271">
        <v>13689.2770143088</v>
      </c>
      <c r="K16" s="271">
        <v>13689.2770143088</v>
      </c>
      <c r="L16" s="271">
        <v>13689.2770143088</v>
      </c>
      <c r="M16" s="271">
        <v>13689.2770143088</v>
      </c>
      <c r="N16" s="271">
        <v>13689.2770143088</v>
      </c>
      <c r="O16" s="271">
        <v>13689.2770143088</v>
      </c>
      <c r="P16" s="271">
        <v>13689.2770143088</v>
      </c>
      <c r="Q16" s="271">
        <v>13689.2770143088</v>
      </c>
      <c r="R16" s="271">
        <v>13689.2770143088</v>
      </c>
      <c r="S16" s="236"/>
      <c r="T16" s="238"/>
    </row>
    <row r="17" spans="1:30" ht="27.6" x14ac:dyDescent="0.3">
      <c r="A17" s="269" t="s">
        <v>516</v>
      </c>
      <c r="B17" s="258" t="s">
        <v>505</v>
      </c>
      <c r="C17" s="259" t="s">
        <v>1139</v>
      </c>
      <c r="D17" s="258" t="s">
        <v>1078</v>
      </c>
      <c r="E17" s="260" t="s">
        <v>1130</v>
      </c>
      <c r="F17" s="258" t="s">
        <v>35</v>
      </c>
      <c r="G17" s="189">
        <v>41498.411</v>
      </c>
      <c r="H17" s="189">
        <v>41498.411</v>
      </c>
      <c r="I17" s="189">
        <v>41498.411</v>
      </c>
      <c r="J17" s="189">
        <v>41498.411</v>
      </c>
      <c r="K17" s="189">
        <v>41498.411</v>
      </c>
      <c r="L17" s="189">
        <v>41498.411</v>
      </c>
      <c r="M17" s="189">
        <v>41498.411</v>
      </c>
      <c r="N17" s="189">
        <v>41498.411</v>
      </c>
      <c r="O17" s="189">
        <v>41498.411</v>
      </c>
      <c r="P17" s="189">
        <v>41498.411</v>
      </c>
      <c r="Q17" s="189">
        <v>41498.411</v>
      </c>
      <c r="R17" s="189">
        <v>41498.411</v>
      </c>
      <c r="S17" s="236">
        <f t="shared" si="6"/>
        <v>497980.93200000009</v>
      </c>
      <c r="T17" s="238">
        <f>($Y$2*AG6)*12</f>
        <v>398678.39330242155</v>
      </c>
    </row>
    <row r="18" spans="1:30" x14ac:dyDescent="0.3">
      <c r="A18" s="269"/>
      <c r="B18" s="258"/>
      <c r="C18" s="259"/>
      <c r="D18" s="258"/>
      <c r="E18" s="260"/>
      <c r="F18" s="258"/>
      <c r="G18" s="271">
        <f>T17/12</f>
        <v>33223.199441868463</v>
      </c>
      <c r="H18" s="271">
        <v>33223.199441868463</v>
      </c>
      <c r="I18" s="271">
        <v>33223.199441868463</v>
      </c>
      <c r="J18" s="271">
        <v>33223.199441868463</v>
      </c>
      <c r="K18" s="271">
        <v>33223.199441868463</v>
      </c>
      <c r="L18" s="271">
        <v>33223.199441868463</v>
      </c>
      <c r="M18" s="271">
        <v>33223.199441868463</v>
      </c>
      <c r="N18" s="271">
        <v>33223.199441868463</v>
      </c>
      <c r="O18" s="271">
        <v>33223.199441868463</v>
      </c>
      <c r="P18" s="271">
        <v>33223.199441868463</v>
      </c>
      <c r="Q18" s="271">
        <v>33223.199441868463</v>
      </c>
      <c r="R18" s="271">
        <v>33223.199441868463</v>
      </c>
      <c r="S18" s="236"/>
      <c r="T18" s="238"/>
    </row>
    <row r="19" spans="1:30" ht="41.4" x14ac:dyDescent="0.3">
      <c r="A19" s="185" t="s">
        <v>514</v>
      </c>
      <c r="B19" s="96" t="s">
        <v>505</v>
      </c>
      <c r="C19" s="97" t="s">
        <v>865</v>
      </c>
      <c r="D19" s="96" t="s">
        <v>1205</v>
      </c>
      <c r="E19" s="98" t="s">
        <v>1130</v>
      </c>
      <c r="F19" s="96" t="s">
        <v>35</v>
      </c>
      <c r="G19" s="189">
        <v>8750.5830000000005</v>
      </c>
      <c r="H19" s="189">
        <v>8750.5830000000005</v>
      </c>
      <c r="I19" s="189">
        <v>8750.5830000000005</v>
      </c>
      <c r="J19" s="189">
        <v>8750.5830000000005</v>
      </c>
      <c r="K19" s="189">
        <v>8750.5830000000005</v>
      </c>
      <c r="L19" s="189">
        <v>8750.5830000000005</v>
      </c>
      <c r="M19" s="189">
        <v>8750.5830000000005</v>
      </c>
      <c r="N19" s="189">
        <v>8750.5830000000005</v>
      </c>
      <c r="O19" s="189">
        <v>8750.5830000000005</v>
      </c>
      <c r="P19" s="189">
        <v>8750.5830000000005</v>
      </c>
      <c r="Q19" s="189">
        <v>8750.5830000000005</v>
      </c>
      <c r="R19" s="189">
        <v>8750.5830000000005</v>
      </c>
      <c r="S19" s="236">
        <f t="shared" si="6"/>
        <v>105006.996</v>
      </c>
      <c r="T19" s="238">
        <f>($Y$2*AG7)*12</f>
        <v>69082.407666482177</v>
      </c>
    </row>
    <row r="20" spans="1:30" x14ac:dyDescent="0.3">
      <c r="G20" s="239">
        <f>T19/12</f>
        <v>5756.8673055401814</v>
      </c>
      <c r="H20" s="1">
        <v>5756.8673055401814</v>
      </c>
      <c r="I20" s="1">
        <v>5756.8673055401814</v>
      </c>
      <c r="J20" s="1">
        <v>5756.8673055401814</v>
      </c>
      <c r="K20" s="1">
        <v>5756.8673055401814</v>
      </c>
      <c r="L20" s="1">
        <v>5756.8673055401814</v>
      </c>
      <c r="M20" s="1">
        <v>5756.8673055401814</v>
      </c>
      <c r="N20" s="1">
        <v>5756.8673055401814</v>
      </c>
      <c r="O20" s="1">
        <v>5756.8673055401814</v>
      </c>
      <c r="P20" s="1">
        <v>5756.8673055401814</v>
      </c>
      <c r="Q20" s="1">
        <v>5756.8673055401814</v>
      </c>
      <c r="R20" s="1">
        <v>5756.8673055401814</v>
      </c>
    </row>
    <row r="22" spans="1:30" x14ac:dyDescent="0.3">
      <c r="A22" s="216">
        <v>1105337</v>
      </c>
      <c r="B22" s="216" t="s">
        <v>459</v>
      </c>
      <c r="C22" s="216">
        <v>102063</v>
      </c>
      <c r="D22" s="216" t="s">
        <v>1078</v>
      </c>
      <c r="E22" s="216" t="s">
        <v>1063</v>
      </c>
      <c r="F22" s="216" t="s">
        <v>1215</v>
      </c>
      <c r="G22" s="216" t="s">
        <v>1216</v>
      </c>
      <c r="H22" s="216" t="s">
        <v>1217</v>
      </c>
      <c r="I22" s="216" t="s">
        <v>414</v>
      </c>
      <c r="J22" s="216">
        <v>110682.66</v>
      </c>
      <c r="K22" s="216">
        <v>94066.994999999995</v>
      </c>
      <c r="L22" s="216">
        <v>90971.595000000001</v>
      </c>
      <c r="M22" s="216">
        <v>76511.654999999999</v>
      </c>
      <c r="N22" s="216">
        <v>58668.885000000002</v>
      </c>
      <c r="O22" s="216">
        <v>34657.425000000003</v>
      </c>
      <c r="P22" s="216">
        <v>13840.86</v>
      </c>
      <c r="Q22" s="216">
        <v>10601.745000000001</v>
      </c>
      <c r="R22" s="216">
        <v>38814.105000000003</v>
      </c>
      <c r="S22" s="216">
        <v>52533.36</v>
      </c>
      <c r="T22" s="216">
        <v>86715.42</v>
      </c>
      <c r="U22" s="216">
        <v>82647.179999999993</v>
      </c>
      <c r="V22" s="216">
        <v>750711.88500000001</v>
      </c>
      <c r="W22" s="216">
        <v>10927</v>
      </c>
      <c r="X22" s="216" t="s">
        <v>1218</v>
      </c>
      <c r="Y22" s="216" t="b">
        <v>1</v>
      </c>
      <c r="Z22" s="216" t="s">
        <v>1219</v>
      </c>
      <c r="AA22" s="216">
        <v>12</v>
      </c>
      <c r="AB22" s="216" t="s">
        <v>35</v>
      </c>
      <c r="AC22" s="216" t="s">
        <v>1220</v>
      </c>
      <c r="AD22" s="216">
        <v>5.7252057975656596</v>
      </c>
    </row>
    <row r="23" spans="1:30" x14ac:dyDescent="0.3">
      <c r="A23" s="216">
        <v>1105342</v>
      </c>
      <c r="B23" s="216" t="s">
        <v>462</v>
      </c>
      <c r="C23" s="216">
        <v>102063</v>
      </c>
      <c r="D23" s="216" t="s">
        <v>1078</v>
      </c>
      <c r="E23" s="216" t="s">
        <v>1063</v>
      </c>
      <c r="F23" s="216" t="s">
        <v>1215</v>
      </c>
      <c r="G23" s="216" t="s">
        <v>1216</v>
      </c>
      <c r="H23" s="216" t="s">
        <v>1217</v>
      </c>
      <c r="I23" s="216" t="s">
        <v>414</v>
      </c>
      <c r="J23" s="216">
        <v>67353.692999999999</v>
      </c>
      <c r="K23" s="216">
        <v>53637.754000000001</v>
      </c>
      <c r="L23" s="216">
        <v>49793.930999999997</v>
      </c>
      <c r="M23" s="216">
        <v>48805.614000000001</v>
      </c>
      <c r="N23" s="216">
        <v>16855.559000000001</v>
      </c>
      <c r="O23" s="216">
        <v>18068.292000000001</v>
      </c>
      <c r="P23" s="216">
        <v>11910.656999999999</v>
      </c>
      <c r="Q23" s="216">
        <v>5772.9210000000003</v>
      </c>
      <c r="R23" s="216">
        <v>24590.741999999998</v>
      </c>
      <c r="S23" s="216">
        <v>32640.992999999999</v>
      </c>
      <c r="T23" s="216">
        <v>48727</v>
      </c>
      <c r="U23" s="216">
        <v>45977.745000000003</v>
      </c>
      <c r="V23" s="216">
        <v>424134.90099999902</v>
      </c>
      <c r="W23" s="216">
        <v>5017</v>
      </c>
      <c r="X23" s="216" t="s">
        <v>1218</v>
      </c>
      <c r="Y23" s="216" t="b">
        <v>1</v>
      </c>
      <c r="Z23" s="216" t="s">
        <v>1219</v>
      </c>
      <c r="AA23" s="216">
        <v>12</v>
      </c>
      <c r="AB23" s="216" t="s">
        <v>35</v>
      </c>
      <c r="AC23" s="216" t="s">
        <v>1220</v>
      </c>
      <c r="AD23" s="216">
        <v>7.0449621453723896</v>
      </c>
    </row>
    <row r="24" spans="1:30" x14ac:dyDescent="0.3">
      <c r="A24" s="216">
        <v>1105344</v>
      </c>
      <c r="B24" s="216" t="s">
        <v>461</v>
      </c>
      <c r="C24" s="216">
        <v>102063</v>
      </c>
      <c r="D24" s="216" t="s">
        <v>1078</v>
      </c>
      <c r="E24" s="216" t="s">
        <v>1063</v>
      </c>
      <c r="F24" s="216" t="s">
        <v>1215</v>
      </c>
      <c r="G24" s="216" t="s">
        <v>1216</v>
      </c>
      <c r="H24" s="216" t="s">
        <v>1217</v>
      </c>
      <c r="I24" s="216" t="s">
        <v>414</v>
      </c>
      <c r="J24" s="216">
        <v>89814.137000000002</v>
      </c>
      <c r="K24" s="216">
        <v>67284.047000000006</v>
      </c>
      <c r="L24" s="216">
        <v>60763.807999999997</v>
      </c>
      <c r="M24" s="216">
        <v>66058.047000000006</v>
      </c>
      <c r="N24" s="216">
        <v>26246.780999999999</v>
      </c>
      <c r="O24" s="216">
        <v>21979.550999999999</v>
      </c>
      <c r="P24" s="216">
        <v>12006.835999999999</v>
      </c>
      <c r="Q24" s="216">
        <v>7015.5029999999997</v>
      </c>
      <c r="R24" s="216">
        <v>38316.629999999997</v>
      </c>
      <c r="S24" s="216">
        <v>49342.887000000002</v>
      </c>
      <c r="T24" s="216">
        <v>68598.486000000004</v>
      </c>
      <c r="U24" s="216">
        <v>66500.247000000003</v>
      </c>
      <c r="V24" s="216">
        <v>573926.96</v>
      </c>
      <c r="W24" s="216">
        <v>4936</v>
      </c>
      <c r="X24" s="216" t="s">
        <v>1218</v>
      </c>
      <c r="Y24" s="216" t="b">
        <v>1</v>
      </c>
      <c r="Z24" s="216" t="s">
        <v>1219</v>
      </c>
      <c r="AA24" s="216">
        <v>12</v>
      </c>
      <c r="AB24" s="216" t="s">
        <v>35</v>
      </c>
      <c r="AC24" s="216" t="s">
        <v>1220</v>
      </c>
      <c r="AD24" s="216">
        <v>9.68947460831982</v>
      </c>
    </row>
    <row r="25" spans="1:30" x14ac:dyDescent="0.3">
      <c r="A25" s="216">
        <v>1105345</v>
      </c>
      <c r="B25" s="216" t="s">
        <v>460</v>
      </c>
      <c r="C25" s="216">
        <v>102063</v>
      </c>
      <c r="D25" s="216" t="s">
        <v>1078</v>
      </c>
      <c r="E25" s="216" t="s">
        <v>1063</v>
      </c>
      <c r="F25" s="216" t="s">
        <v>1215</v>
      </c>
      <c r="G25" s="216" t="s">
        <v>1216</v>
      </c>
      <c r="H25" s="216" t="s">
        <v>1217</v>
      </c>
      <c r="I25" s="216" t="s">
        <v>414</v>
      </c>
      <c r="J25" s="216">
        <v>54766.47</v>
      </c>
      <c r="K25" s="216">
        <v>38460.345000000001</v>
      </c>
      <c r="L25" s="216">
        <v>32899.68</v>
      </c>
      <c r="M25" s="216">
        <v>25437.555</v>
      </c>
      <c r="N25" s="216">
        <v>5251.125</v>
      </c>
      <c r="O25" s="216">
        <v>3084.3449999999998</v>
      </c>
      <c r="P25" s="216">
        <v>1658.25</v>
      </c>
      <c r="Q25" s="216">
        <v>176.88</v>
      </c>
      <c r="R25" s="216">
        <v>6002.8649999999998</v>
      </c>
      <c r="S25" s="216">
        <v>13907.19</v>
      </c>
      <c r="T25" s="216">
        <v>39278.415000000001</v>
      </c>
      <c r="U25" s="216">
        <v>41821.065000000002</v>
      </c>
      <c r="V25" s="216">
        <v>262744.185</v>
      </c>
      <c r="W25" s="216">
        <v>6722</v>
      </c>
      <c r="X25" s="216" t="s">
        <v>1218</v>
      </c>
      <c r="Y25" s="216" t="b">
        <v>1</v>
      </c>
      <c r="Z25" s="216" t="s">
        <v>1219</v>
      </c>
      <c r="AA25" s="216">
        <v>12</v>
      </c>
      <c r="AB25" s="216" t="s">
        <v>35</v>
      </c>
      <c r="AC25" s="216" t="s">
        <v>1220</v>
      </c>
      <c r="AD25" s="216">
        <v>3.2572669964296299</v>
      </c>
    </row>
    <row r="26" spans="1:30" x14ac:dyDescent="0.3">
      <c r="A26" s="216">
        <v>1105349</v>
      </c>
      <c r="B26" s="216" t="s">
        <v>463</v>
      </c>
      <c r="C26" s="216">
        <v>102063</v>
      </c>
      <c r="D26" s="216" t="s">
        <v>1078</v>
      </c>
      <c r="E26" s="216" t="s">
        <v>1063</v>
      </c>
      <c r="F26" s="216" t="s">
        <v>1215</v>
      </c>
      <c r="G26" s="216" t="s">
        <v>1216</v>
      </c>
      <c r="H26" s="216" t="s">
        <v>1217</v>
      </c>
      <c r="I26" s="216" t="s">
        <v>414</v>
      </c>
      <c r="J26" s="216">
        <v>7042.0349999999999</v>
      </c>
      <c r="K26" s="216">
        <v>5273.2349999999997</v>
      </c>
      <c r="L26" s="216">
        <v>4831.0349999999999</v>
      </c>
      <c r="M26" s="216">
        <v>6964.65</v>
      </c>
      <c r="N26" s="216">
        <v>1779.855</v>
      </c>
      <c r="O26" s="216">
        <v>6721.44</v>
      </c>
      <c r="P26" s="216">
        <v>176.88</v>
      </c>
      <c r="Q26" s="216">
        <v>619.08000000000004</v>
      </c>
      <c r="R26" s="216">
        <v>2498.4299999999998</v>
      </c>
      <c r="S26" s="216">
        <v>2597.9250000000002</v>
      </c>
      <c r="T26" s="216">
        <v>4775.76</v>
      </c>
      <c r="U26" s="216">
        <v>6113.415</v>
      </c>
      <c r="V26" s="216">
        <v>49393.74</v>
      </c>
      <c r="W26" s="216">
        <v>528</v>
      </c>
      <c r="X26" s="216" t="s">
        <v>1218</v>
      </c>
      <c r="Y26" s="216" t="b">
        <v>1</v>
      </c>
      <c r="Z26" s="216" t="s">
        <v>1219</v>
      </c>
      <c r="AA26" s="216">
        <v>12</v>
      </c>
      <c r="AB26" s="216" t="s">
        <v>35</v>
      </c>
      <c r="AC26" s="216" t="s">
        <v>1220</v>
      </c>
      <c r="AD26" s="216">
        <v>7.7957291666666597</v>
      </c>
    </row>
    <row r="27" spans="1:30" x14ac:dyDescent="0.3">
      <c r="A27" s="216">
        <v>1105359</v>
      </c>
      <c r="B27" s="216" t="s">
        <v>499</v>
      </c>
      <c r="C27" s="216">
        <v>102063</v>
      </c>
      <c r="D27" s="216" t="s">
        <v>1078</v>
      </c>
      <c r="E27" s="216" t="s">
        <v>1063</v>
      </c>
      <c r="F27" s="216" t="s">
        <v>1215</v>
      </c>
      <c r="G27" s="216" t="s">
        <v>1216</v>
      </c>
      <c r="H27" s="216" t="s">
        <v>1217</v>
      </c>
      <c r="I27" s="216" t="s">
        <v>414</v>
      </c>
      <c r="J27" s="216">
        <v>5118.4650000000001</v>
      </c>
      <c r="K27" s="216">
        <v>4974.75</v>
      </c>
      <c r="L27" s="216">
        <v>5030.0249999999996</v>
      </c>
      <c r="M27" s="216">
        <v>895.45500000000004</v>
      </c>
      <c r="N27" s="216">
        <v>5018.97</v>
      </c>
      <c r="O27" s="216">
        <v>4598.88</v>
      </c>
      <c r="P27" s="216">
        <v>4698.375</v>
      </c>
      <c r="Q27" s="216">
        <v>4466.22</v>
      </c>
      <c r="R27" s="216">
        <v>4234.0649999999996</v>
      </c>
      <c r="S27" s="216">
        <v>4576.7700000000004</v>
      </c>
      <c r="T27" s="216">
        <v>4278.2849999999999</v>
      </c>
      <c r="U27" s="216">
        <v>4455.165</v>
      </c>
      <c r="V27" s="216">
        <v>52345.425000000003</v>
      </c>
      <c r="W27" s="216">
        <v>9667</v>
      </c>
      <c r="X27" s="216" t="s">
        <v>1218</v>
      </c>
      <c r="Y27" s="216" t="b">
        <v>1</v>
      </c>
      <c r="Z27" s="216" t="s">
        <v>1219</v>
      </c>
      <c r="AA27" s="216">
        <v>12</v>
      </c>
      <c r="AB27" s="216" t="s">
        <v>35</v>
      </c>
      <c r="AC27" s="216" t="s">
        <v>1220</v>
      </c>
      <c r="AD27" s="216">
        <v>0.45123810385848701</v>
      </c>
    </row>
    <row r="28" spans="1:30" x14ac:dyDescent="0.3">
      <c r="A28" s="216">
        <v>1105362</v>
      </c>
      <c r="B28" s="216" t="s">
        <v>497</v>
      </c>
      <c r="C28" s="216">
        <v>102063</v>
      </c>
      <c r="D28" s="216" t="s">
        <v>1078</v>
      </c>
      <c r="E28" s="216" t="s">
        <v>1063</v>
      </c>
      <c r="F28" s="216" t="s">
        <v>1215</v>
      </c>
      <c r="G28" s="216" t="s">
        <v>1216</v>
      </c>
      <c r="H28" s="216" t="s">
        <v>1217</v>
      </c>
      <c r="I28" s="216" t="s">
        <v>414</v>
      </c>
      <c r="J28" s="216">
        <v>95017.725000000006</v>
      </c>
      <c r="K28" s="216">
        <v>70840.44</v>
      </c>
      <c r="L28" s="216">
        <v>65069.73</v>
      </c>
      <c r="M28" s="216">
        <v>25238.564999999999</v>
      </c>
      <c r="N28" s="216">
        <v>23502.93</v>
      </c>
      <c r="O28" s="216">
        <v>20175.375</v>
      </c>
      <c r="P28" s="216">
        <v>20451.75</v>
      </c>
      <c r="Q28" s="216">
        <v>15974.475</v>
      </c>
      <c r="R28" s="216">
        <v>19313.084999999999</v>
      </c>
      <c r="S28" s="216">
        <v>23513.985000000001</v>
      </c>
      <c r="T28" s="216">
        <v>41566.800000000003</v>
      </c>
      <c r="U28" s="216">
        <v>72277.59</v>
      </c>
      <c r="V28" s="216">
        <v>492942.44999999902</v>
      </c>
      <c r="W28" s="216">
        <v>12978</v>
      </c>
      <c r="X28" s="216" t="s">
        <v>1218</v>
      </c>
      <c r="Y28" s="216" t="b">
        <v>1</v>
      </c>
      <c r="Z28" s="216" t="s">
        <v>1219</v>
      </c>
      <c r="AA28" s="216">
        <v>12</v>
      </c>
      <c r="AB28" s="216" t="s">
        <v>35</v>
      </c>
      <c r="AC28" s="216" t="s">
        <v>1220</v>
      </c>
      <c r="AD28" s="216">
        <v>3.1652440668824098</v>
      </c>
    </row>
    <row r="29" spans="1:30" x14ac:dyDescent="0.3">
      <c r="A29" s="216">
        <v>1105365</v>
      </c>
      <c r="B29" s="216" t="s">
        <v>1094</v>
      </c>
      <c r="C29" s="216">
        <v>102063</v>
      </c>
      <c r="D29" s="216" t="s">
        <v>1078</v>
      </c>
      <c r="E29" s="216" t="s">
        <v>1063</v>
      </c>
      <c r="F29" s="216" t="s">
        <v>1215</v>
      </c>
      <c r="G29" s="216" t="s">
        <v>1216</v>
      </c>
      <c r="H29" s="216" t="s">
        <v>1217</v>
      </c>
      <c r="I29" s="216" t="s">
        <v>414</v>
      </c>
      <c r="J29" s="216">
        <v>118222.17</v>
      </c>
      <c r="K29" s="216">
        <v>77838.255000000005</v>
      </c>
      <c r="L29" s="216">
        <v>65489.82</v>
      </c>
      <c r="M29" s="216">
        <v>38338.74</v>
      </c>
      <c r="N29" s="216">
        <v>16151.355</v>
      </c>
      <c r="O29" s="216">
        <v>8390.7450000000008</v>
      </c>
      <c r="P29" s="216">
        <v>8412.8549999999996</v>
      </c>
      <c r="Q29" s="216">
        <v>7605.84</v>
      </c>
      <c r="R29" s="216">
        <v>12657.975</v>
      </c>
      <c r="S29" s="216">
        <v>34403.160000000003</v>
      </c>
      <c r="T29" s="216">
        <v>57784.485000000001</v>
      </c>
      <c r="U29" s="216">
        <v>86262.164999999994</v>
      </c>
      <c r="V29" s="216">
        <v>531557.56499999994</v>
      </c>
      <c r="W29" s="216">
        <v>13438</v>
      </c>
      <c r="X29" s="216" t="s">
        <v>1218</v>
      </c>
      <c r="Y29" s="216" t="b">
        <v>1</v>
      </c>
      <c r="Z29" s="216" t="s">
        <v>1219</v>
      </c>
      <c r="AA29" s="216">
        <v>12</v>
      </c>
      <c r="AB29" s="216" t="s">
        <v>35</v>
      </c>
      <c r="AC29" s="216" t="s">
        <v>1220</v>
      </c>
      <c r="AD29" s="216">
        <v>3.2963583680607198</v>
      </c>
    </row>
    <row r="30" spans="1:30" x14ac:dyDescent="0.3">
      <c r="A30" s="216">
        <v>1105366</v>
      </c>
      <c r="B30" s="216" t="s">
        <v>1095</v>
      </c>
      <c r="C30" s="216">
        <v>102063</v>
      </c>
      <c r="D30" s="216" t="s">
        <v>1078</v>
      </c>
      <c r="E30" s="216" t="s">
        <v>1063</v>
      </c>
      <c r="F30" s="216" t="s">
        <v>1215</v>
      </c>
      <c r="G30" s="216" t="s">
        <v>1216</v>
      </c>
      <c r="H30" s="216" t="s">
        <v>1217</v>
      </c>
      <c r="I30" s="216" t="s">
        <v>414</v>
      </c>
      <c r="J30" s="216">
        <v>16880.985000000001</v>
      </c>
      <c r="K30" s="216">
        <v>12602.7</v>
      </c>
      <c r="L30" s="216">
        <v>11497.2</v>
      </c>
      <c r="M30" s="216">
        <v>10590.69</v>
      </c>
      <c r="N30" s="216">
        <v>6190.8</v>
      </c>
      <c r="O30" s="216">
        <v>5781.7650000000003</v>
      </c>
      <c r="P30" s="216">
        <v>5206.9049999999997</v>
      </c>
      <c r="Q30" s="216">
        <v>4300.3950000000004</v>
      </c>
      <c r="R30" s="216">
        <v>6323.46</v>
      </c>
      <c r="S30" s="216">
        <v>5604.8850000000002</v>
      </c>
      <c r="T30" s="216">
        <v>9838.9500000000007</v>
      </c>
      <c r="U30" s="216">
        <v>15123.24</v>
      </c>
      <c r="V30" s="216">
        <v>109941.97500000001</v>
      </c>
      <c r="W30" s="216">
        <v>6183</v>
      </c>
      <c r="X30" s="216" t="s">
        <v>1218</v>
      </c>
      <c r="Y30" s="216" t="b">
        <v>1</v>
      </c>
      <c r="Z30" s="216" t="s">
        <v>1219</v>
      </c>
      <c r="AA30" s="216">
        <v>12</v>
      </c>
      <c r="AB30" s="216" t="s">
        <v>35</v>
      </c>
      <c r="AC30" s="216" t="s">
        <v>1220</v>
      </c>
      <c r="AD30" s="216">
        <v>1.4817776564774301</v>
      </c>
    </row>
    <row r="31" spans="1:30" x14ac:dyDescent="0.3">
      <c r="A31" s="216">
        <v>1105361</v>
      </c>
      <c r="B31" s="216" t="s">
        <v>839</v>
      </c>
      <c r="C31" s="216">
        <v>103970</v>
      </c>
      <c r="D31" s="216" t="s">
        <v>1093</v>
      </c>
      <c r="E31" s="216" t="s">
        <v>1063</v>
      </c>
      <c r="F31" s="216" t="s">
        <v>1215</v>
      </c>
      <c r="G31" s="216" t="s">
        <v>1216</v>
      </c>
      <c r="H31" s="216" t="s">
        <v>1217</v>
      </c>
      <c r="I31" s="216" t="s">
        <v>414</v>
      </c>
      <c r="J31" s="216">
        <v>20375.5</v>
      </c>
      <c r="K31" s="216">
        <v>20375.5</v>
      </c>
      <c r="L31" s="216">
        <v>10985.5</v>
      </c>
      <c r="M31" s="216">
        <v>10985.5</v>
      </c>
      <c r="N31" s="216">
        <v>13463</v>
      </c>
      <c r="O31" s="216">
        <v>13463</v>
      </c>
      <c r="P31" s="216">
        <v>5334</v>
      </c>
      <c r="Q31" s="216">
        <v>5334</v>
      </c>
      <c r="R31" s="216">
        <v>6945</v>
      </c>
      <c r="S31" s="216">
        <v>6945</v>
      </c>
      <c r="T31" s="216">
        <v>7511.75</v>
      </c>
      <c r="U31" s="216">
        <v>7511.75</v>
      </c>
      <c r="V31" s="216">
        <v>129229.5</v>
      </c>
      <c r="W31" s="216">
        <v>1261</v>
      </c>
      <c r="X31" s="216" t="s">
        <v>1218</v>
      </c>
      <c r="Y31" s="216" t="b">
        <v>1</v>
      </c>
      <c r="Z31" s="216" t="s">
        <v>1219</v>
      </c>
      <c r="AA31" s="216">
        <v>12</v>
      </c>
      <c r="AB31" s="216" t="s">
        <v>35</v>
      </c>
      <c r="AC31" s="216" t="s">
        <v>1221</v>
      </c>
      <c r="AD31" s="216">
        <v>8.5401467089611405</v>
      </c>
    </row>
    <row r="32" spans="1:30" x14ac:dyDescent="0.3">
      <c r="A32" s="216">
        <v>1105363</v>
      </c>
      <c r="B32" s="216" t="s">
        <v>1097</v>
      </c>
      <c r="C32" s="216">
        <v>103970</v>
      </c>
      <c r="D32" s="216" t="s">
        <v>1093</v>
      </c>
      <c r="E32" s="216" t="s">
        <v>1063</v>
      </c>
      <c r="F32" s="216" t="s">
        <v>1215</v>
      </c>
      <c r="G32" s="216" t="s">
        <v>1216</v>
      </c>
      <c r="H32" s="216" t="s">
        <v>1217</v>
      </c>
      <c r="I32" s="216" t="s">
        <v>414</v>
      </c>
      <c r="J32" s="216">
        <v>144352</v>
      </c>
      <c r="K32" s="216">
        <v>103966</v>
      </c>
      <c r="L32" s="216">
        <v>95170</v>
      </c>
      <c r="M32" s="216">
        <v>85330</v>
      </c>
      <c r="N32" s="216">
        <v>70047</v>
      </c>
      <c r="O32" s="216">
        <v>58629</v>
      </c>
      <c r="P32" s="216">
        <v>68495</v>
      </c>
      <c r="Q32" s="216">
        <v>60746</v>
      </c>
      <c r="R32" s="216">
        <v>72325</v>
      </c>
      <c r="S32" s="216">
        <v>78791</v>
      </c>
      <c r="T32" s="216">
        <v>101931</v>
      </c>
      <c r="U32" s="216">
        <v>112575</v>
      </c>
      <c r="V32" s="216">
        <v>1052357</v>
      </c>
      <c r="W32" s="216">
        <v>11056</v>
      </c>
      <c r="X32" s="216" t="s">
        <v>1218</v>
      </c>
      <c r="Y32" s="216" t="b">
        <v>1</v>
      </c>
      <c r="Z32" s="216" t="s">
        <v>1219</v>
      </c>
      <c r="AA32" s="216">
        <v>12</v>
      </c>
      <c r="AB32" s="216" t="s">
        <v>35</v>
      </c>
      <c r="AC32" s="216" t="s">
        <v>1221</v>
      </c>
      <c r="AD32" s="216">
        <v>7.9320203207911204</v>
      </c>
    </row>
    <row r="34" spans="29:30" x14ac:dyDescent="0.3">
      <c r="AC34" s="216" t="s">
        <v>1222</v>
      </c>
      <c r="AD34" s="216">
        <f>AVERAGE(AD22:AD32)</f>
        <v>5.3072203581259521</v>
      </c>
    </row>
  </sheetData>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D389-B937-4AF0-B2FA-F5292DAA70A3}">
  <dimension ref="A1:M68"/>
  <sheetViews>
    <sheetView workbookViewId="0">
      <pane ySplit="2" topLeftCell="A3" activePane="bottomLeft" state="frozen"/>
      <selection pane="bottomLeft" activeCell="D13" sqref="D13"/>
    </sheetView>
  </sheetViews>
  <sheetFormatPr defaultColWidth="9.109375" defaultRowHeight="14.4" x14ac:dyDescent="0.3"/>
  <cols>
    <col min="1" max="1" width="24.5546875" customWidth="1"/>
    <col min="2" max="2" width="30" customWidth="1"/>
    <col min="3" max="3" width="15.109375" customWidth="1"/>
    <col min="4" max="6" width="14.88671875" style="196" customWidth="1"/>
    <col min="7" max="7" width="30.21875" style="522" customWidth="1"/>
    <col min="8" max="9" width="14.88671875" style="196" customWidth="1"/>
    <col min="10" max="10" width="13.77734375" customWidth="1"/>
    <col min="11" max="11" width="35.109375" customWidth="1"/>
  </cols>
  <sheetData>
    <row r="1" spans="1:13" ht="40.5" customHeight="1" x14ac:dyDescent="0.4">
      <c r="B1" s="879" t="s">
        <v>1223</v>
      </c>
      <c r="C1" s="879"/>
      <c r="D1" s="879"/>
      <c r="E1" s="879"/>
      <c r="F1" s="879"/>
      <c r="G1" s="879"/>
      <c r="H1" s="879"/>
      <c r="I1" s="879"/>
      <c r="J1">
        <v>1E-3</v>
      </c>
      <c r="K1" t="s">
        <v>958</v>
      </c>
    </row>
    <row r="2" spans="1:13" ht="58.2" thickBot="1" x14ac:dyDescent="0.35">
      <c r="B2" s="519" t="s">
        <v>959</v>
      </c>
      <c r="C2" s="519" t="s">
        <v>1224</v>
      </c>
      <c r="D2" s="520" t="s">
        <v>960</v>
      </c>
      <c r="E2" s="520" t="s">
        <v>961</v>
      </c>
      <c r="F2" s="520" t="s">
        <v>962</v>
      </c>
      <c r="G2" s="521" t="s">
        <v>983</v>
      </c>
      <c r="H2" s="520" t="s">
        <v>963</v>
      </c>
      <c r="I2" s="520" t="s">
        <v>984</v>
      </c>
      <c r="J2" s="520" t="s">
        <v>985</v>
      </c>
    </row>
    <row r="3" spans="1:13" ht="14.4" customHeight="1" x14ac:dyDescent="0.3">
      <c r="A3" t="s">
        <v>1225</v>
      </c>
      <c r="B3" t="s">
        <v>453</v>
      </c>
      <c r="C3" t="s">
        <v>864</v>
      </c>
      <c r="D3" s="75">
        <v>422168.33999999991</v>
      </c>
      <c r="E3" s="196">
        <v>422168.33999999991</v>
      </c>
      <c r="F3" s="196">
        <v>0</v>
      </c>
      <c r="G3" s="522">
        <v>0.16396363636363631</v>
      </c>
      <c r="H3" s="196">
        <v>69220.256183999983</v>
      </c>
      <c r="I3" s="196">
        <v>0</v>
      </c>
      <c r="J3">
        <v>69.220256183999979</v>
      </c>
    </row>
    <row r="4" spans="1:13" ht="14.4" customHeight="1" x14ac:dyDescent="0.3">
      <c r="A4" t="s">
        <v>1225</v>
      </c>
      <c r="B4" t="s">
        <v>497</v>
      </c>
      <c r="C4" t="s">
        <v>864</v>
      </c>
      <c r="D4" s="75">
        <v>430570.13999999996</v>
      </c>
      <c r="E4" s="196">
        <v>430570.13999999996</v>
      </c>
      <c r="F4" s="196">
        <v>0</v>
      </c>
      <c r="G4" s="522">
        <v>0.16396363636363631</v>
      </c>
      <c r="H4" s="196">
        <v>70597.845863999988</v>
      </c>
      <c r="I4" s="196">
        <v>0</v>
      </c>
      <c r="J4">
        <v>70.597845863999993</v>
      </c>
      <c r="K4" s="68" t="s">
        <v>1226</v>
      </c>
      <c r="L4" s="68">
        <f>D4*5.1%</f>
        <v>21959.077139999998</v>
      </c>
      <c r="M4" s="68" t="s">
        <v>35</v>
      </c>
    </row>
    <row r="5" spans="1:13" ht="14.4" customHeight="1" x14ac:dyDescent="0.3">
      <c r="A5" t="s">
        <v>1225</v>
      </c>
      <c r="B5" t="s">
        <v>502</v>
      </c>
      <c r="C5" t="s">
        <v>864</v>
      </c>
      <c r="D5" s="75">
        <v>153752.94</v>
      </c>
      <c r="E5" s="196">
        <v>153752.94</v>
      </c>
      <c r="F5" s="196">
        <v>0</v>
      </c>
      <c r="G5" s="522">
        <v>0.16396363636363631</v>
      </c>
      <c r="H5" s="196">
        <v>25209.891143999994</v>
      </c>
      <c r="I5" s="196">
        <v>0</v>
      </c>
      <c r="J5">
        <v>25.209891143999993</v>
      </c>
    </row>
    <row r="6" spans="1:13" ht="14.4" customHeight="1" x14ac:dyDescent="0.3">
      <c r="A6" t="s">
        <v>1225</v>
      </c>
      <c r="B6" t="s">
        <v>499</v>
      </c>
      <c r="C6" t="s">
        <v>864</v>
      </c>
      <c r="D6" s="75">
        <v>49946.489999999962</v>
      </c>
      <c r="E6" s="196">
        <v>49946.489999999962</v>
      </c>
      <c r="F6" s="196">
        <v>0</v>
      </c>
      <c r="G6" s="522">
        <v>0.16396363636363631</v>
      </c>
      <c r="H6" s="196">
        <v>8189.4081239999932</v>
      </c>
      <c r="I6" s="196">
        <v>0</v>
      </c>
      <c r="J6">
        <v>8.1894081239999927</v>
      </c>
    </row>
    <row r="7" spans="1:13" ht="14.4" customHeight="1" x14ac:dyDescent="0.3">
      <c r="A7" t="s">
        <v>1225</v>
      </c>
      <c r="B7" t="s">
        <v>463</v>
      </c>
      <c r="C7" t="s">
        <v>864</v>
      </c>
      <c r="D7" s="75">
        <v>41345.715000000004</v>
      </c>
      <c r="E7" s="196">
        <v>41345.715000000004</v>
      </c>
      <c r="F7" s="196">
        <v>0</v>
      </c>
      <c r="G7" s="522">
        <v>0.16396363636363631</v>
      </c>
      <c r="H7" s="196">
        <v>6779.1937794545438</v>
      </c>
      <c r="I7" s="196">
        <v>0</v>
      </c>
      <c r="J7">
        <v>6.7791937794545438</v>
      </c>
    </row>
    <row r="8" spans="1:13" ht="14.4" customHeight="1" x14ac:dyDescent="0.3">
      <c r="A8" t="s">
        <v>1225</v>
      </c>
      <c r="B8" t="s">
        <v>460</v>
      </c>
      <c r="C8" t="s">
        <v>864</v>
      </c>
      <c r="D8" s="75">
        <v>128425.93499999998</v>
      </c>
      <c r="E8" s="196">
        <v>128425.93499999998</v>
      </c>
      <c r="F8" s="196">
        <v>0</v>
      </c>
      <c r="G8" s="522">
        <v>0.16396363636363631</v>
      </c>
      <c r="H8" s="196">
        <v>21057.183305999995</v>
      </c>
      <c r="I8" s="196">
        <v>0</v>
      </c>
      <c r="J8">
        <v>21.057183305999995</v>
      </c>
    </row>
    <row r="9" spans="1:13" ht="14.4" customHeight="1" x14ac:dyDescent="0.3">
      <c r="A9" t="s">
        <v>1225</v>
      </c>
      <c r="B9" t="s">
        <v>461</v>
      </c>
      <c r="C9" t="s">
        <v>864</v>
      </c>
      <c r="D9" s="75">
        <v>523858.86334028729</v>
      </c>
      <c r="E9" s="196">
        <v>523858.86334028729</v>
      </c>
      <c r="F9" s="196">
        <v>0</v>
      </c>
      <c r="G9" s="522">
        <v>0.16396363636363631</v>
      </c>
      <c r="H9" s="196">
        <v>85893.804174594741</v>
      </c>
      <c r="I9" s="196">
        <v>0</v>
      </c>
      <c r="J9">
        <v>85.893804174594749</v>
      </c>
    </row>
    <row r="10" spans="1:13" ht="14.4" customHeight="1" x14ac:dyDescent="0.3">
      <c r="A10" t="s">
        <v>1225</v>
      </c>
      <c r="B10" t="s">
        <v>462</v>
      </c>
      <c r="C10" t="s">
        <v>864</v>
      </c>
      <c r="D10" s="75">
        <v>356057.22965402663</v>
      </c>
      <c r="E10" s="196">
        <v>356057.22965402663</v>
      </c>
      <c r="F10" s="196">
        <v>0</v>
      </c>
      <c r="G10" s="522">
        <v>0.16396363636363631</v>
      </c>
      <c r="H10" s="196">
        <v>58380.438127636582</v>
      </c>
      <c r="I10" s="196">
        <v>0</v>
      </c>
      <c r="J10">
        <v>58.38043812763658</v>
      </c>
    </row>
    <row r="11" spans="1:13" ht="14.4" customHeight="1" x14ac:dyDescent="0.3">
      <c r="A11" t="s">
        <v>1225</v>
      </c>
      <c r="B11" t="s">
        <v>500</v>
      </c>
      <c r="C11" t="s">
        <v>864</v>
      </c>
      <c r="D11" s="75">
        <v>260190.48000000004</v>
      </c>
      <c r="E11" s="196">
        <v>260190.48000000004</v>
      </c>
      <c r="F11" s="196">
        <v>0</v>
      </c>
      <c r="G11" s="522">
        <v>0.16396363636363631</v>
      </c>
      <c r="H11" s="196">
        <v>42661.777247999999</v>
      </c>
      <c r="I11" s="196">
        <v>0</v>
      </c>
      <c r="J11">
        <v>42.661777248</v>
      </c>
    </row>
    <row r="12" spans="1:13" ht="14.4" customHeight="1" x14ac:dyDescent="0.3">
      <c r="A12" s="216" t="s">
        <v>1227</v>
      </c>
      <c r="B12" s="53" t="s">
        <v>981</v>
      </c>
      <c r="C12" s="53" t="s">
        <v>1159</v>
      </c>
      <c r="D12" s="523">
        <v>1006847</v>
      </c>
      <c r="E12" s="523">
        <v>1006847</v>
      </c>
      <c r="F12" s="196">
        <v>0</v>
      </c>
      <c r="G12" s="522">
        <v>0.16396363636363631</v>
      </c>
      <c r="H12" s="196">
        <f>D12*G12</f>
        <v>165086.29538181814</v>
      </c>
    </row>
    <row r="13" spans="1:13" ht="15" customHeight="1" x14ac:dyDescent="0.3">
      <c r="A13" s="216" t="s">
        <v>1227</v>
      </c>
      <c r="B13" s="53" t="s">
        <v>518</v>
      </c>
      <c r="C13" s="53" t="s">
        <v>1159</v>
      </c>
      <c r="D13" s="196">
        <f>SUM(E13:F13)</f>
        <v>9213.9299999999985</v>
      </c>
      <c r="E13" s="523">
        <v>8268.8799999999992</v>
      </c>
      <c r="F13" s="196">
        <v>945.05</v>
      </c>
      <c r="G13" s="522">
        <v>0.16396363636363631</v>
      </c>
      <c r="H13" s="196">
        <f t="shared" ref="H13:H20" si="0">D13*G13</f>
        <v>1510.7494679999993</v>
      </c>
    </row>
    <row r="14" spans="1:13" ht="14.4" customHeight="1" x14ac:dyDescent="0.3">
      <c r="A14" s="216" t="s">
        <v>1227</v>
      </c>
      <c r="B14" s="53" t="s">
        <v>515</v>
      </c>
      <c r="C14" s="53" t="s">
        <v>1159</v>
      </c>
      <c r="D14" s="523">
        <v>175306.55</v>
      </c>
      <c r="E14" s="523">
        <v>175306.55</v>
      </c>
      <c r="F14" s="196">
        <v>0</v>
      </c>
      <c r="G14" s="522">
        <v>0.16396363636363631</v>
      </c>
      <c r="H14" s="196">
        <f t="shared" si="0"/>
        <v>28743.899416363627</v>
      </c>
    </row>
    <row r="15" spans="1:13" ht="14.4" customHeight="1" x14ac:dyDescent="0.3">
      <c r="A15" s="216" t="s">
        <v>1227</v>
      </c>
      <c r="B15" s="53" t="s">
        <v>839</v>
      </c>
      <c r="C15" s="53" t="s">
        <v>1159</v>
      </c>
      <c r="D15" s="523">
        <v>95509</v>
      </c>
      <c r="E15" s="523">
        <v>95509</v>
      </c>
      <c r="F15" s="196">
        <v>0</v>
      </c>
      <c r="G15" s="522">
        <v>0.16396363636363631</v>
      </c>
      <c r="H15" s="196">
        <f t="shared" si="0"/>
        <v>15660.00294545454</v>
      </c>
    </row>
    <row r="16" spans="1:13" ht="14.4" customHeight="1" x14ac:dyDescent="0.3">
      <c r="A16" s="216" t="s">
        <v>1227</v>
      </c>
      <c r="B16" s="53" t="s">
        <v>514</v>
      </c>
      <c r="C16" s="53" t="s">
        <v>1159</v>
      </c>
      <c r="D16" s="523">
        <v>114133.67</v>
      </c>
      <c r="E16" s="523">
        <v>114133.67</v>
      </c>
      <c r="F16" s="196">
        <v>0</v>
      </c>
      <c r="G16" s="522">
        <v>0.16396363636363631</v>
      </c>
      <c r="H16" s="196">
        <f t="shared" si="0"/>
        <v>18713.771564727267</v>
      </c>
    </row>
    <row r="17" spans="1:9" ht="14.4" customHeight="1" x14ac:dyDescent="0.3">
      <c r="A17" s="216" t="s">
        <v>1227</v>
      </c>
      <c r="B17" s="53" t="s">
        <v>837</v>
      </c>
      <c r="C17" s="53" t="s">
        <v>871</v>
      </c>
      <c r="D17" s="523">
        <f>SUM(E17:F17)</f>
        <v>762192.15599999996</v>
      </c>
      <c r="E17" s="523">
        <f>34333*11.1</f>
        <v>381096.3</v>
      </c>
      <c r="F17" s="502">
        <f>34332.96*11.1</f>
        <v>381095.85599999997</v>
      </c>
      <c r="G17" s="522">
        <v>0.16396363636363631</v>
      </c>
      <c r="H17" s="196">
        <f t="shared" si="0"/>
        <v>124971.79750559996</v>
      </c>
    </row>
    <row r="18" spans="1:9" ht="14.4" customHeight="1" x14ac:dyDescent="0.3">
      <c r="A18" s="216" t="s">
        <v>1227</v>
      </c>
      <c r="B18" s="53" t="s">
        <v>456</v>
      </c>
      <c r="C18" s="53" t="s">
        <v>871</v>
      </c>
      <c r="D18" s="523">
        <f>SUM(E18:F18)</f>
        <v>388832.55599999998</v>
      </c>
      <c r="E18" s="523">
        <f>17515*11.1</f>
        <v>194416.5</v>
      </c>
      <c r="F18" s="502">
        <f>17514.96*11.1</f>
        <v>194416.05599999998</v>
      </c>
      <c r="G18" s="522">
        <v>0.16396363636363631</v>
      </c>
      <c r="H18" s="196">
        <f t="shared" si="0"/>
        <v>63754.399818327249</v>
      </c>
    </row>
    <row r="19" spans="1:9" ht="14.4" customHeight="1" x14ac:dyDescent="0.3">
      <c r="A19" s="216" t="s">
        <v>1227</v>
      </c>
      <c r="B19" s="533" t="s">
        <v>517</v>
      </c>
      <c r="C19" s="53" t="s">
        <v>871</v>
      </c>
      <c r="D19" s="585">
        <v>58320.926011826676</v>
      </c>
      <c r="E19" s="196">
        <v>0</v>
      </c>
      <c r="F19" s="585">
        <v>58320.926011826676</v>
      </c>
      <c r="G19" s="522">
        <v>0.16396363636363631</v>
      </c>
      <c r="H19" s="196">
        <f t="shared" si="0"/>
        <v>9562.5111049936877</v>
      </c>
    </row>
    <row r="20" spans="1:9" ht="14.4" customHeight="1" x14ac:dyDescent="0.3">
      <c r="A20" s="216" t="s">
        <v>1227</v>
      </c>
      <c r="B20" s="533" t="s">
        <v>1162</v>
      </c>
      <c r="C20" s="53" t="s">
        <v>871</v>
      </c>
      <c r="D20" s="585">
        <v>354293.37432877411</v>
      </c>
      <c r="E20" s="196">
        <v>0</v>
      </c>
      <c r="F20" s="585">
        <v>354293.37432877411</v>
      </c>
      <c r="G20" s="522">
        <v>0.16396363636363631</v>
      </c>
      <c r="H20" s="196">
        <f t="shared" si="0"/>
        <v>58091.2299944888</v>
      </c>
    </row>
    <row r="22" spans="1:9" ht="15" thickBot="1" x14ac:dyDescent="0.35"/>
    <row r="23" spans="1:9" x14ac:dyDescent="0.3">
      <c r="G23" s="524"/>
      <c r="H23" s="525">
        <v>2025</v>
      </c>
      <c r="I23" s="526">
        <v>2024</v>
      </c>
    </row>
    <row r="24" spans="1:9" x14ac:dyDescent="0.3">
      <c r="G24" s="527" t="s">
        <v>1228</v>
      </c>
      <c r="H24" s="196">
        <f>SUM(D3:D20)</f>
        <v>5330965.2953349147</v>
      </c>
      <c r="I24" s="528">
        <v>6978850</v>
      </c>
    </row>
    <row r="25" spans="1:9" x14ac:dyDescent="0.3">
      <c r="G25" s="527" t="s">
        <v>1229</v>
      </c>
      <c r="H25" s="196">
        <f>H24-D8</f>
        <v>5202539.3603349151</v>
      </c>
      <c r="I25" s="529">
        <f>I24-E33</f>
        <v>6713618</v>
      </c>
    </row>
    <row r="26" spans="1:9" x14ac:dyDescent="0.3">
      <c r="C26" s="860">
        <v>2025</v>
      </c>
      <c r="D26" s="860"/>
      <c r="G26" s="527" t="s">
        <v>1230</v>
      </c>
      <c r="H26" s="196">
        <f>SUMIF(C3:C20, "Non-managed",D3:D20)</f>
        <v>1401010.15</v>
      </c>
      <c r="I26" s="528">
        <v>3207463</v>
      </c>
    </row>
    <row r="27" spans="1:9" ht="58.2" thickBot="1" x14ac:dyDescent="0.35">
      <c r="B27" s="519" t="s">
        <v>959</v>
      </c>
      <c r="C27" s="519" t="s">
        <v>1224</v>
      </c>
      <c r="D27" s="520" t="s">
        <v>960</v>
      </c>
      <c r="E27" s="68">
        <v>2024</v>
      </c>
      <c r="G27" s="527" t="s">
        <v>1231</v>
      </c>
      <c r="H27" s="196">
        <f>H26-D8</f>
        <v>1272584.2149999999</v>
      </c>
      <c r="I27" s="529">
        <f>I26-E33</f>
        <v>2942231</v>
      </c>
    </row>
    <row r="28" spans="1:9" x14ac:dyDescent="0.3">
      <c r="B28" t="s">
        <v>453</v>
      </c>
      <c r="C28" t="s">
        <v>864</v>
      </c>
      <c r="D28" s="75">
        <v>422168.33999999991</v>
      </c>
      <c r="E28" s="196">
        <v>494236</v>
      </c>
      <c r="G28" s="527" t="s">
        <v>1232</v>
      </c>
      <c r="H28" s="196">
        <f>SUMIF(C3:C18, "Residential",D3:D18)</f>
        <v>1151024.7119999998</v>
      </c>
      <c r="I28" s="529">
        <v>1791632</v>
      </c>
    </row>
    <row r="29" spans="1:9" x14ac:dyDescent="0.3">
      <c r="B29" t="s">
        <v>497</v>
      </c>
      <c r="C29" t="s">
        <v>864</v>
      </c>
      <c r="D29" s="75">
        <v>430570.13999999996</v>
      </c>
      <c r="E29" s="196">
        <v>472148</v>
      </c>
      <c r="G29" s="527"/>
      <c r="I29" s="529"/>
    </row>
    <row r="30" spans="1:9" ht="29.4" thickBot="1" x14ac:dyDescent="0.35">
      <c r="B30" t="s">
        <v>502</v>
      </c>
      <c r="C30" t="s">
        <v>864</v>
      </c>
      <c r="D30" s="75">
        <v>153752.94</v>
      </c>
      <c r="E30" s="196">
        <v>115348</v>
      </c>
      <c r="G30" s="530" t="s">
        <v>1233</v>
      </c>
      <c r="H30" s="531">
        <f>D4*5.1%</f>
        <v>21959.077139999998</v>
      </c>
      <c r="I30" s="532">
        <v>24080</v>
      </c>
    </row>
    <row r="31" spans="1:9" x14ac:dyDescent="0.3">
      <c r="B31" t="s">
        <v>499</v>
      </c>
      <c r="C31" t="s">
        <v>864</v>
      </c>
      <c r="D31" s="75">
        <v>49946.489999999962</v>
      </c>
      <c r="E31" s="196">
        <v>55405</v>
      </c>
    </row>
    <row r="32" spans="1:9" x14ac:dyDescent="0.3">
      <c r="B32" t="s">
        <v>463</v>
      </c>
      <c r="C32" t="s">
        <v>864</v>
      </c>
      <c r="D32" s="75">
        <v>41345.715000000004</v>
      </c>
      <c r="E32" s="196">
        <v>51008</v>
      </c>
      <c r="G32" s="522" t="s">
        <v>1234</v>
      </c>
      <c r="H32" s="196">
        <f>SUM(F13,F17,F18,F19,F20)</f>
        <v>989071.26234060084</v>
      </c>
    </row>
    <row r="33" spans="1:13" s="196" customFormat="1" x14ac:dyDescent="0.3">
      <c r="B33" t="s">
        <v>460</v>
      </c>
      <c r="C33" t="s">
        <v>864</v>
      </c>
      <c r="D33" s="75">
        <v>128425.93499999998</v>
      </c>
      <c r="E33" s="196">
        <v>265232</v>
      </c>
      <c r="G33" s="522" t="s">
        <v>1235</v>
      </c>
      <c r="H33" s="72">
        <f>H32/(SUM(D12:D20))</f>
        <v>0.33362168950869242</v>
      </c>
      <c r="J33"/>
      <c r="K33"/>
      <c r="L33"/>
      <c r="M33"/>
    </row>
    <row r="34" spans="1:13" s="196" customFormat="1" x14ac:dyDescent="0.3">
      <c r="B34" t="s">
        <v>461</v>
      </c>
      <c r="C34" t="s">
        <v>864</v>
      </c>
      <c r="D34" s="75">
        <v>523858.86334028729</v>
      </c>
      <c r="E34" s="196">
        <v>582021</v>
      </c>
      <c r="G34" s="522"/>
      <c r="J34"/>
      <c r="K34"/>
      <c r="L34"/>
      <c r="M34"/>
    </row>
    <row r="35" spans="1:13" s="196" customFormat="1" x14ac:dyDescent="0.3">
      <c r="B35" t="s">
        <v>462</v>
      </c>
      <c r="C35" t="s">
        <v>864</v>
      </c>
      <c r="D35" s="75">
        <v>356057.22965402663</v>
      </c>
      <c r="E35" s="196">
        <v>423531</v>
      </c>
      <c r="G35" s="522"/>
      <c r="J35"/>
      <c r="K35"/>
      <c r="L35"/>
      <c r="M35"/>
    </row>
    <row r="36" spans="1:13" s="196" customFormat="1" x14ac:dyDescent="0.3">
      <c r="B36" t="s">
        <v>500</v>
      </c>
      <c r="C36" t="s">
        <v>864</v>
      </c>
      <c r="D36" s="75">
        <v>260190.48000000004</v>
      </c>
      <c r="E36" s="196">
        <v>748534</v>
      </c>
      <c r="G36" s="522"/>
      <c r="J36"/>
      <c r="K36"/>
      <c r="L36"/>
      <c r="M36"/>
    </row>
    <row r="37" spans="1:13" s="196" customFormat="1" x14ac:dyDescent="0.3">
      <c r="B37" s="53" t="s">
        <v>981</v>
      </c>
      <c r="C37" s="53" t="s">
        <v>1159</v>
      </c>
      <c r="D37" s="523">
        <v>1006847</v>
      </c>
      <c r="E37" s="196">
        <v>1107323</v>
      </c>
      <c r="G37" s="522"/>
      <c r="J37"/>
      <c r="K37"/>
      <c r="L37"/>
      <c r="M37"/>
    </row>
    <row r="38" spans="1:13" s="196" customFormat="1" x14ac:dyDescent="0.3">
      <c r="B38" s="53" t="s">
        <v>518</v>
      </c>
      <c r="C38" s="53" t="s">
        <v>1159</v>
      </c>
      <c r="D38" s="196">
        <v>9213.9299999999985</v>
      </c>
      <c r="E38" s="196">
        <v>8937</v>
      </c>
      <c r="G38" s="522"/>
      <c r="J38"/>
      <c r="K38"/>
      <c r="L38"/>
      <c r="M38"/>
    </row>
    <row r="39" spans="1:13" s="196" customFormat="1" x14ac:dyDescent="0.3">
      <c r="B39" s="53" t="s">
        <v>515</v>
      </c>
      <c r="C39" s="53" t="s">
        <v>1159</v>
      </c>
      <c r="D39" s="523">
        <v>175306.55</v>
      </c>
      <c r="E39" s="502">
        <v>164271</v>
      </c>
      <c r="G39" s="522"/>
      <c r="J39"/>
      <c r="K39"/>
      <c r="L39"/>
      <c r="M39"/>
    </row>
    <row r="40" spans="1:13" s="196" customFormat="1" x14ac:dyDescent="0.3">
      <c r="B40" s="53" t="s">
        <v>839</v>
      </c>
      <c r="C40" s="53" t="s">
        <v>1159</v>
      </c>
      <c r="D40" s="523">
        <v>95509</v>
      </c>
      <c r="E40" s="196">
        <v>90249</v>
      </c>
      <c r="G40" s="522"/>
      <c r="J40"/>
      <c r="K40"/>
      <c r="L40"/>
      <c r="M40"/>
    </row>
    <row r="41" spans="1:13" s="196" customFormat="1" x14ac:dyDescent="0.3">
      <c r="B41" s="53" t="s">
        <v>514</v>
      </c>
      <c r="C41" s="53" t="s">
        <v>1159</v>
      </c>
      <c r="D41" s="523">
        <v>114133.67</v>
      </c>
      <c r="E41" s="502">
        <v>69082</v>
      </c>
      <c r="G41" s="522"/>
      <c r="J41"/>
      <c r="K41"/>
      <c r="L41"/>
      <c r="M41"/>
    </row>
    <row r="42" spans="1:13" s="196" customFormat="1" x14ac:dyDescent="0.3">
      <c r="B42" s="53" t="s">
        <v>837</v>
      </c>
      <c r="C42" s="53" t="s">
        <v>871</v>
      </c>
      <c r="D42" s="523">
        <f>SUM(E42:F42)</f>
        <v>1307946</v>
      </c>
      <c r="E42" s="502">
        <v>1307946</v>
      </c>
      <c r="G42" s="522"/>
      <c r="J42"/>
      <c r="K42"/>
      <c r="L42"/>
      <c r="M42"/>
    </row>
    <row r="43" spans="1:13" s="196" customFormat="1" x14ac:dyDescent="0.3">
      <c r="B43" s="53" t="s">
        <v>456</v>
      </c>
      <c r="C43" s="53" t="s">
        <v>871</v>
      </c>
      <c r="D43" s="523">
        <f>SUM(E43:F43)</f>
        <v>483686</v>
      </c>
      <c r="E43" s="502">
        <v>483686</v>
      </c>
      <c r="G43" s="522"/>
      <c r="J43"/>
      <c r="K43"/>
      <c r="L43"/>
      <c r="M43"/>
    </row>
    <row r="44" spans="1:13" s="196" customFormat="1" x14ac:dyDescent="0.3">
      <c r="B44" s="533" t="s">
        <v>517</v>
      </c>
      <c r="C44" s="53" t="s">
        <v>871</v>
      </c>
      <c r="D44" s="585">
        <v>58320.926011826676</v>
      </c>
      <c r="E44" s="196">
        <v>105146</v>
      </c>
      <c r="G44" s="522"/>
      <c r="J44"/>
      <c r="K44"/>
      <c r="L44"/>
      <c r="M44"/>
    </row>
    <row r="45" spans="1:13" s="196" customFormat="1" x14ac:dyDescent="0.3">
      <c r="B45" s="533" t="s">
        <v>1162</v>
      </c>
      <c r="C45" s="53" t="s">
        <v>1159</v>
      </c>
      <c r="D45" s="585">
        <v>354293.37432877411</v>
      </c>
      <c r="E45" s="196">
        <v>398678</v>
      </c>
      <c r="G45" s="522"/>
      <c r="J45"/>
      <c r="K45"/>
      <c r="L45"/>
      <c r="M45"/>
    </row>
    <row r="46" spans="1:13" x14ac:dyDescent="0.3">
      <c r="D46" s="196">
        <f>SUM(D28:D45)</f>
        <v>5971572.5833349144</v>
      </c>
      <c r="E46" s="196">
        <f>SUM(E28:E45)</f>
        <v>6942781</v>
      </c>
    </row>
    <row r="48" spans="1:13" x14ac:dyDescent="0.3">
      <c r="A48" s="248"/>
      <c r="B48" s="726" t="s">
        <v>1236</v>
      </c>
      <c r="C48" s="248"/>
      <c r="D48" s="248"/>
      <c r="E48" s="248"/>
      <c r="F48" s="248"/>
      <c r="G48" s="248"/>
      <c r="H48" s="248"/>
      <c r="I48" s="248"/>
    </row>
    <row r="49" spans="1:9" ht="58.2" thickBot="1" x14ac:dyDescent="0.35">
      <c r="A49" s="248"/>
      <c r="B49" s="519" t="s">
        <v>959</v>
      </c>
      <c r="C49" s="519" t="s">
        <v>1224</v>
      </c>
      <c r="D49" s="519" t="s">
        <v>960</v>
      </c>
      <c r="E49" s="519" t="s">
        <v>961</v>
      </c>
      <c r="F49" s="519" t="s">
        <v>962</v>
      </c>
      <c r="G49" s="726" t="s">
        <v>1237</v>
      </c>
      <c r="H49" s="726" t="s">
        <v>1238</v>
      </c>
      <c r="I49" s="248"/>
    </row>
    <row r="50" spans="1:9" x14ac:dyDescent="0.3">
      <c r="A50" s="248" t="s">
        <v>1225</v>
      </c>
      <c r="B50" s="248" t="s">
        <v>453</v>
      </c>
      <c r="C50" s="248" t="s">
        <v>864</v>
      </c>
      <c r="D50" s="731">
        <v>422168.34</v>
      </c>
      <c r="E50" s="696">
        <v>422168.34</v>
      </c>
      <c r="F50" s="248">
        <v>0</v>
      </c>
      <c r="G50" s="248"/>
      <c r="H50" s="696">
        <v>422168.34</v>
      </c>
      <c r="I50" s="248"/>
    </row>
    <row r="51" spans="1:9" x14ac:dyDescent="0.3">
      <c r="A51" s="248" t="s">
        <v>1225</v>
      </c>
      <c r="B51" s="248" t="s">
        <v>497</v>
      </c>
      <c r="C51" s="248" t="s">
        <v>864</v>
      </c>
      <c r="D51" s="731">
        <v>430570.14</v>
      </c>
      <c r="E51" s="696">
        <v>430570.14</v>
      </c>
      <c r="F51" s="248">
        <v>0</v>
      </c>
      <c r="G51" s="248"/>
      <c r="H51" s="696">
        <v>430570.14</v>
      </c>
      <c r="I51" s="248"/>
    </row>
    <row r="52" spans="1:9" x14ac:dyDescent="0.3">
      <c r="A52" s="248" t="s">
        <v>1225</v>
      </c>
      <c r="B52" s="248" t="s">
        <v>502</v>
      </c>
      <c r="C52" s="248" t="s">
        <v>864</v>
      </c>
      <c r="D52" s="731">
        <v>153752.94</v>
      </c>
      <c r="E52" s="696">
        <v>153752.94</v>
      </c>
      <c r="F52" s="248">
        <v>0</v>
      </c>
      <c r="G52" s="248"/>
      <c r="H52" s="696">
        <v>153752.94</v>
      </c>
      <c r="I52" s="248"/>
    </row>
    <row r="53" spans="1:9" x14ac:dyDescent="0.3">
      <c r="A53" s="248" t="s">
        <v>1225</v>
      </c>
      <c r="B53" s="248" t="s">
        <v>499</v>
      </c>
      <c r="C53" s="248" t="s">
        <v>864</v>
      </c>
      <c r="D53" s="731">
        <v>49946.49</v>
      </c>
      <c r="E53" s="696">
        <v>49946.49</v>
      </c>
      <c r="F53" s="248">
        <v>0</v>
      </c>
      <c r="G53" s="248"/>
      <c r="H53" s="696">
        <v>49946.49</v>
      </c>
      <c r="I53" s="248"/>
    </row>
    <row r="54" spans="1:9" x14ac:dyDescent="0.3">
      <c r="A54" s="248" t="s">
        <v>1225</v>
      </c>
      <c r="B54" s="248" t="s">
        <v>463</v>
      </c>
      <c r="C54" s="248" t="s">
        <v>864</v>
      </c>
      <c r="D54" s="731">
        <v>41345.72</v>
      </c>
      <c r="E54" s="696">
        <v>41345.72</v>
      </c>
      <c r="F54" s="248">
        <v>0</v>
      </c>
      <c r="G54" s="248"/>
      <c r="H54" s="696">
        <v>41345.72</v>
      </c>
      <c r="I54" s="248"/>
    </row>
    <row r="55" spans="1:9" x14ac:dyDescent="0.3">
      <c r="A55" s="248" t="s">
        <v>1225</v>
      </c>
      <c r="B55" s="248" t="s">
        <v>460</v>
      </c>
      <c r="C55" s="248" t="s">
        <v>864</v>
      </c>
      <c r="D55" s="731">
        <v>128425.94</v>
      </c>
      <c r="E55" s="696">
        <v>128425.94</v>
      </c>
      <c r="F55" s="248">
        <v>0</v>
      </c>
      <c r="G55" s="248"/>
      <c r="H55" s="696">
        <v>128425.94</v>
      </c>
      <c r="I55" s="248"/>
    </row>
    <row r="56" spans="1:9" x14ac:dyDescent="0.3">
      <c r="A56" s="248" t="s">
        <v>1225</v>
      </c>
      <c r="B56" s="248" t="s">
        <v>461</v>
      </c>
      <c r="C56" s="248" t="s">
        <v>864</v>
      </c>
      <c r="D56" s="731">
        <v>523858.86</v>
      </c>
      <c r="E56" s="696">
        <v>523858.86</v>
      </c>
      <c r="F56" s="248">
        <v>0</v>
      </c>
      <c r="G56" s="248"/>
      <c r="H56" s="696">
        <v>523858.86</v>
      </c>
      <c r="I56" s="248"/>
    </row>
    <row r="57" spans="1:9" x14ac:dyDescent="0.3">
      <c r="A57" s="248" t="s">
        <v>1225</v>
      </c>
      <c r="B57" s="248" t="s">
        <v>462</v>
      </c>
      <c r="C57" s="248" t="s">
        <v>864</v>
      </c>
      <c r="D57" s="731">
        <v>356057.23</v>
      </c>
      <c r="E57" s="696">
        <v>356057.23</v>
      </c>
      <c r="F57" s="248">
        <v>0</v>
      </c>
      <c r="G57" s="248"/>
      <c r="H57" s="696">
        <v>356057.23</v>
      </c>
      <c r="I57" s="248"/>
    </row>
    <row r="58" spans="1:9" x14ac:dyDescent="0.3">
      <c r="A58" s="248" t="s">
        <v>1225</v>
      </c>
      <c r="B58" s="248" t="s">
        <v>500</v>
      </c>
      <c r="C58" s="248" t="s">
        <v>864</v>
      </c>
      <c r="D58" s="731">
        <v>260190.48</v>
      </c>
      <c r="E58" s="696">
        <v>260190.48</v>
      </c>
      <c r="F58" s="248">
        <v>0</v>
      </c>
      <c r="G58" s="248"/>
      <c r="H58" s="696">
        <v>260190.48</v>
      </c>
      <c r="I58" s="248"/>
    </row>
    <row r="59" spans="1:9" x14ac:dyDescent="0.3">
      <c r="A59" s="732" t="s">
        <v>1227</v>
      </c>
      <c r="B59" s="248" t="s">
        <v>981</v>
      </c>
      <c r="C59" s="248" t="s">
        <v>1159</v>
      </c>
      <c r="D59" s="696">
        <v>1006847</v>
      </c>
      <c r="E59" s="696">
        <v>1006847</v>
      </c>
      <c r="F59" s="248">
        <v>0</v>
      </c>
      <c r="G59" s="248"/>
      <c r="H59" s="696">
        <v>1006847</v>
      </c>
      <c r="I59" s="248"/>
    </row>
    <row r="60" spans="1:9" x14ac:dyDescent="0.3">
      <c r="A60" s="732" t="s">
        <v>1227</v>
      </c>
      <c r="B60" s="248" t="s">
        <v>518</v>
      </c>
      <c r="C60" s="248" t="s">
        <v>1159</v>
      </c>
      <c r="D60" s="696">
        <v>9213.93</v>
      </c>
      <c r="E60" s="696">
        <v>8268.8799999999992</v>
      </c>
      <c r="F60" s="248">
        <v>945.05</v>
      </c>
      <c r="G60" s="248">
        <v>1</v>
      </c>
      <c r="H60" s="502">
        <v>9213.93</v>
      </c>
      <c r="I60" s="780" t="s">
        <v>1239</v>
      </c>
    </row>
    <row r="61" spans="1:9" x14ac:dyDescent="0.3">
      <c r="A61" s="732" t="s">
        <v>1227</v>
      </c>
      <c r="B61" s="248" t="s">
        <v>515</v>
      </c>
      <c r="C61" s="248" t="s">
        <v>1159</v>
      </c>
      <c r="D61" s="696">
        <v>175306.55</v>
      </c>
      <c r="E61" s="696">
        <v>175306.55</v>
      </c>
      <c r="F61" s="248">
        <v>0</v>
      </c>
      <c r="G61" s="248"/>
      <c r="H61" s="696">
        <v>175306.55</v>
      </c>
      <c r="I61" s="248"/>
    </row>
    <row r="62" spans="1:9" x14ac:dyDescent="0.3">
      <c r="A62" s="732" t="s">
        <v>1227</v>
      </c>
      <c r="B62" s="248" t="s">
        <v>839</v>
      </c>
      <c r="C62" s="248" t="s">
        <v>1159</v>
      </c>
      <c r="D62" s="696">
        <v>95509</v>
      </c>
      <c r="E62" s="696">
        <v>95509</v>
      </c>
      <c r="F62" s="248">
        <v>0</v>
      </c>
      <c r="G62" s="248"/>
      <c r="H62" s="696">
        <v>95509</v>
      </c>
      <c r="I62" s="248"/>
    </row>
    <row r="63" spans="1:9" x14ac:dyDescent="0.3">
      <c r="A63" s="732" t="s">
        <v>1227</v>
      </c>
      <c r="B63" s="248" t="s">
        <v>514</v>
      </c>
      <c r="C63" s="248" t="s">
        <v>1159</v>
      </c>
      <c r="D63" s="696">
        <v>114133.67</v>
      </c>
      <c r="E63" s="696">
        <v>114133.67</v>
      </c>
      <c r="F63" s="248">
        <v>0</v>
      </c>
      <c r="G63" s="248"/>
      <c r="H63" s="696">
        <v>114133.67</v>
      </c>
      <c r="I63" s="248"/>
    </row>
    <row r="64" spans="1:9" x14ac:dyDescent="0.3">
      <c r="A64" s="732" t="s">
        <v>1227</v>
      </c>
      <c r="B64" s="248" t="s">
        <v>837</v>
      </c>
      <c r="C64" s="248" t="s">
        <v>871</v>
      </c>
      <c r="D64" s="696">
        <v>762192.16</v>
      </c>
      <c r="E64" s="696">
        <v>381096.3</v>
      </c>
      <c r="F64" s="502">
        <v>381095.86</v>
      </c>
      <c r="G64" s="248">
        <v>6</v>
      </c>
      <c r="H64" s="248">
        <v>0</v>
      </c>
      <c r="I64" s="248"/>
    </row>
    <row r="65" spans="1:9" x14ac:dyDescent="0.3">
      <c r="A65" s="732" t="s">
        <v>1227</v>
      </c>
      <c r="B65" s="248" t="s">
        <v>456</v>
      </c>
      <c r="C65" s="248" t="s">
        <v>871</v>
      </c>
      <c r="D65" s="696">
        <v>388832.56</v>
      </c>
      <c r="E65" s="696">
        <v>194416.5</v>
      </c>
      <c r="F65" s="502">
        <v>194416.06</v>
      </c>
      <c r="G65" s="248">
        <v>6</v>
      </c>
      <c r="H65" s="248">
        <v>0</v>
      </c>
      <c r="I65" s="248"/>
    </row>
    <row r="66" spans="1:9" x14ac:dyDescent="0.3">
      <c r="A66" s="732" t="s">
        <v>1227</v>
      </c>
      <c r="B66" s="733" t="s">
        <v>517</v>
      </c>
      <c r="C66" s="248" t="s">
        <v>871</v>
      </c>
      <c r="D66" s="734">
        <v>58320.93</v>
      </c>
      <c r="E66" s="248">
        <v>0</v>
      </c>
      <c r="F66" s="734">
        <v>58320.93</v>
      </c>
      <c r="G66" s="248"/>
      <c r="H66" s="248">
        <v>0</v>
      </c>
      <c r="I66" s="248"/>
    </row>
    <row r="67" spans="1:9" x14ac:dyDescent="0.3">
      <c r="A67" s="732" t="s">
        <v>1227</v>
      </c>
      <c r="B67" s="733" t="s">
        <v>1162</v>
      </c>
      <c r="C67" s="248" t="s">
        <v>871</v>
      </c>
      <c r="D67" s="734">
        <v>354293.37</v>
      </c>
      <c r="E67" s="248">
        <v>0</v>
      </c>
      <c r="F67" s="734">
        <v>354293.37</v>
      </c>
      <c r="G67" s="248"/>
      <c r="H67" s="248">
        <v>0</v>
      </c>
      <c r="I67" s="248"/>
    </row>
    <row r="68" spans="1:9" x14ac:dyDescent="0.3">
      <c r="A68" s="248"/>
      <c r="B68" s="248"/>
      <c r="C68" s="248"/>
      <c r="D68" s="248"/>
      <c r="E68" s="248"/>
      <c r="F68" s="248"/>
      <c r="G68" s="248"/>
      <c r="H68" s="731">
        <f>SUM(H50:H67)</f>
        <v>3767326.2899999996</v>
      </c>
      <c r="I68" s="726" t="s">
        <v>1240</v>
      </c>
    </row>
  </sheetData>
  <mergeCells count="2">
    <mergeCell ref="B1:I1"/>
    <mergeCell ref="C26:D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2244B-6A69-4469-AA6B-C75A9ECBABBE}">
  <sheetPr codeName="Sheet4"/>
  <dimension ref="A1:C8"/>
  <sheetViews>
    <sheetView workbookViewId="0">
      <selection activeCell="B5" sqref="B5"/>
    </sheetView>
  </sheetViews>
  <sheetFormatPr defaultRowHeight="14.4" x14ac:dyDescent="0.3"/>
  <cols>
    <col min="1" max="1" width="12.88671875" customWidth="1"/>
    <col min="2" max="2" width="27.44140625" customWidth="1"/>
  </cols>
  <sheetData>
    <row r="1" spans="1:3" x14ac:dyDescent="0.3">
      <c r="A1" t="s">
        <v>215</v>
      </c>
      <c r="B1" t="s">
        <v>3</v>
      </c>
      <c r="C1" t="s">
        <v>4</v>
      </c>
    </row>
    <row r="2" spans="1:3" x14ac:dyDescent="0.3">
      <c r="A2" t="s">
        <v>31</v>
      </c>
      <c r="B2" t="s">
        <v>37</v>
      </c>
      <c r="C2" t="s">
        <v>29</v>
      </c>
    </row>
    <row r="3" spans="1:3" x14ac:dyDescent="0.3">
      <c r="A3" t="s">
        <v>216</v>
      </c>
      <c r="B3" t="s">
        <v>217</v>
      </c>
      <c r="C3" t="s">
        <v>38</v>
      </c>
    </row>
    <row r="4" spans="1:3" x14ac:dyDescent="0.3">
      <c r="B4" t="s">
        <v>49</v>
      </c>
    </row>
    <row r="5" spans="1:3" x14ac:dyDescent="0.3">
      <c r="B5" t="s">
        <v>28</v>
      </c>
      <c r="C5" t="s">
        <v>218</v>
      </c>
    </row>
    <row r="6" spans="1:3" x14ac:dyDescent="0.3">
      <c r="B6" t="s">
        <v>113</v>
      </c>
      <c r="C6" t="s">
        <v>219</v>
      </c>
    </row>
    <row r="7" spans="1:3" x14ac:dyDescent="0.3">
      <c r="C7" t="s">
        <v>220</v>
      </c>
    </row>
    <row r="8" spans="1:3" x14ac:dyDescent="0.3">
      <c r="C8" t="s">
        <v>221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2583E-BA10-4174-BC88-212324034F85}">
  <sheetPr filterMode="1"/>
  <dimension ref="A1:K1462"/>
  <sheetViews>
    <sheetView topLeftCell="A35" zoomScale="70" zoomScaleNormal="70" workbookViewId="0">
      <selection activeCell="F327" sqref="F327"/>
    </sheetView>
  </sheetViews>
  <sheetFormatPr defaultRowHeight="14.4" x14ac:dyDescent="0.3"/>
  <cols>
    <col min="1" max="1" width="30.5546875" customWidth="1"/>
    <col min="2" max="2" width="42.21875" customWidth="1"/>
    <col min="3" max="7" width="30.5546875" customWidth="1"/>
    <col min="8" max="10" width="26.77734375" customWidth="1"/>
    <col min="11" max="11" width="30.109375" customWidth="1"/>
  </cols>
  <sheetData>
    <row r="1" spans="1:11" x14ac:dyDescent="0.3">
      <c r="A1" s="124" t="s">
        <v>1241</v>
      </c>
      <c r="B1" s="124"/>
      <c r="C1" s="124"/>
      <c r="D1" s="124"/>
      <c r="E1" s="124"/>
      <c r="F1" s="124"/>
      <c r="G1" s="124"/>
      <c r="H1" s="586" t="s">
        <v>1</v>
      </c>
      <c r="I1" s="587"/>
      <c r="J1" s="587"/>
      <c r="K1" s="587"/>
    </row>
    <row r="2" spans="1:11" x14ac:dyDescent="0.3">
      <c r="A2" s="588" t="s">
        <v>959</v>
      </c>
      <c r="B2" s="588" t="s">
        <v>1166</v>
      </c>
      <c r="C2" s="588" t="s">
        <v>1167</v>
      </c>
      <c r="D2" s="588" t="s">
        <v>325</v>
      </c>
      <c r="E2" s="588" t="s">
        <v>1242</v>
      </c>
      <c r="F2" s="588" t="s">
        <v>1243</v>
      </c>
      <c r="G2" s="588" t="s">
        <v>1244</v>
      </c>
      <c r="H2" s="589" t="s">
        <v>1245</v>
      </c>
      <c r="I2" s="589" t="s">
        <v>1246</v>
      </c>
      <c r="J2" s="589" t="s">
        <v>1247</v>
      </c>
      <c r="K2" s="589" t="s">
        <v>1248</v>
      </c>
    </row>
    <row r="3" spans="1:11" hidden="1" x14ac:dyDescent="0.3">
      <c r="A3" t="s">
        <v>497</v>
      </c>
      <c r="B3" t="s">
        <v>1249</v>
      </c>
      <c r="C3" t="s">
        <v>1169</v>
      </c>
      <c r="D3" t="s">
        <v>1170</v>
      </c>
    </row>
    <row r="4" spans="1:11" hidden="1" x14ac:dyDescent="0.3">
      <c r="A4" t="s">
        <v>497</v>
      </c>
      <c r="B4" t="s">
        <v>1249</v>
      </c>
      <c r="C4" t="s">
        <v>1169</v>
      </c>
      <c r="D4" t="s">
        <v>1171</v>
      </c>
    </row>
    <row r="5" spans="1:11" hidden="1" x14ac:dyDescent="0.3">
      <c r="A5" t="s">
        <v>497</v>
      </c>
      <c r="B5" t="s">
        <v>1249</v>
      </c>
      <c r="C5" t="s">
        <v>1169</v>
      </c>
      <c r="D5" t="s">
        <v>1172</v>
      </c>
    </row>
    <row r="6" spans="1:11" hidden="1" x14ac:dyDescent="0.3">
      <c r="A6" t="s">
        <v>497</v>
      </c>
      <c r="B6" t="s">
        <v>1249</v>
      </c>
      <c r="C6" t="s">
        <v>1169</v>
      </c>
      <c r="D6" t="s">
        <v>1173</v>
      </c>
    </row>
    <row r="7" spans="1:11" hidden="1" x14ac:dyDescent="0.3">
      <c r="A7" t="s">
        <v>497</v>
      </c>
      <c r="B7" t="s">
        <v>1249</v>
      </c>
      <c r="C7" t="s">
        <v>1169</v>
      </c>
      <c r="D7" t="s">
        <v>1174</v>
      </c>
    </row>
    <row r="8" spans="1:11" hidden="1" x14ac:dyDescent="0.3">
      <c r="A8" t="s">
        <v>497</v>
      </c>
      <c r="B8" t="s">
        <v>1249</v>
      </c>
      <c r="C8" t="s">
        <v>1169</v>
      </c>
      <c r="D8" t="s">
        <v>1175</v>
      </c>
    </row>
    <row r="9" spans="1:11" hidden="1" x14ac:dyDescent="0.3">
      <c r="A9" t="s">
        <v>497</v>
      </c>
      <c r="B9" t="s">
        <v>1249</v>
      </c>
      <c r="C9" t="s">
        <v>1169</v>
      </c>
      <c r="D9" t="s">
        <v>1176</v>
      </c>
    </row>
    <row r="10" spans="1:11" hidden="1" x14ac:dyDescent="0.3">
      <c r="A10" t="s">
        <v>497</v>
      </c>
      <c r="B10" t="s">
        <v>1249</v>
      </c>
      <c r="C10" t="s">
        <v>1169</v>
      </c>
      <c r="D10" t="s">
        <v>1177</v>
      </c>
    </row>
    <row r="11" spans="1:11" hidden="1" x14ac:dyDescent="0.3">
      <c r="A11" t="s">
        <v>497</v>
      </c>
      <c r="B11" t="s">
        <v>1249</v>
      </c>
      <c r="C11" t="s">
        <v>1169</v>
      </c>
      <c r="D11" t="s">
        <v>1178</v>
      </c>
    </row>
    <row r="12" spans="1:11" hidden="1" x14ac:dyDescent="0.3">
      <c r="A12" t="s">
        <v>497</v>
      </c>
      <c r="B12" t="s">
        <v>1249</v>
      </c>
      <c r="C12" t="s">
        <v>1169</v>
      </c>
      <c r="D12" t="s">
        <v>1179</v>
      </c>
    </row>
    <row r="13" spans="1:11" hidden="1" x14ac:dyDescent="0.3">
      <c r="A13" t="s">
        <v>497</v>
      </c>
      <c r="B13" t="s">
        <v>1249</v>
      </c>
      <c r="C13" t="s">
        <v>1169</v>
      </c>
      <c r="D13" t="s">
        <v>1180</v>
      </c>
    </row>
    <row r="14" spans="1:11" hidden="1" x14ac:dyDescent="0.3">
      <c r="A14" t="s">
        <v>497</v>
      </c>
      <c r="B14" t="s">
        <v>1249</v>
      </c>
      <c r="C14" t="s">
        <v>1169</v>
      </c>
      <c r="D14" t="s">
        <v>1181</v>
      </c>
    </row>
    <row r="15" spans="1:11" hidden="1" x14ac:dyDescent="0.3">
      <c r="A15" t="s">
        <v>497</v>
      </c>
      <c r="B15" t="s">
        <v>1250</v>
      </c>
      <c r="C15" t="s">
        <v>1251</v>
      </c>
      <c r="D15" t="s">
        <v>1170</v>
      </c>
    </row>
    <row r="16" spans="1:11" hidden="1" x14ac:dyDescent="0.3">
      <c r="A16" t="s">
        <v>497</v>
      </c>
      <c r="B16" t="s">
        <v>1250</v>
      </c>
      <c r="C16" t="s">
        <v>1251</v>
      </c>
      <c r="D16" t="s">
        <v>1171</v>
      </c>
    </row>
    <row r="17" spans="1:7" hidden="1" x14ac:dyDescent="0.3">
      <c r="A17" t="s">
        <v>497</v>
      </c>
      <c r="B17" t="s">
        <v>1250</v>
      </c>
      <c r="C17" t="s">
        <v>1251</v>
      </c>
      <c r="D17" t="s">
        <v>1172</v>
      </c>
    </row>
    <row r="18" spans="1:7" hidden="1" x14ac:dyDescent="0.3">
      <c r="A18" t="s">
        <v>497</v>
      </c>
      <c r="B18" t="s">
        <v>1250</v>
      </c>
      <c r="C18" t="s">
        <v>1251</v>
      </c>
      <c r="D18" t="s">
        <v>1173</v>
      </c>
    </row>
    <row r="19" spans="1:7" hidden="1" x14ac:dyDescent="0.3">
      <c r="A19" t="s">
        <v>497</v>
      </c>
      <c r="B19" t="s">
        <v>1250</v>
      </c>
      <c r="C19" t="s">
        <v>1251</v>
      </c>
      <c r="D19" t="s">
        <v>1174</v>
      </c>
    </row>
    <row r="20" spans="1:7" hidden="1" x14ac:dyDescent="0.3">
      <c r="A20" t="s">
        <v>497</v>
      </c>
      <c r="B20" t="s">
        <v>1250</v>
      </c>
      <c r="C20" t="s">
        <v>1251</v>
      </c>
      <c r="D20" t="s">
        <v>1175</v>
      </c>
    </row>
    <row r="21" spans="1:7" hidden="1" x14ac:dyDescent="0.3">
      <c r="A21" t="s">
        <v>497</v>
      </c>
      <c r="B21" t="s">
        <v>1250</v>
      </c>
      <c r="C21" t="s">
        <v>1251</v>
      </c>
      <c r="D21" t="s">
        <v>1176</v>
      </c>
    </row>
    <row r="22" spans="1:7" hidden="1" x14ac:dyDescent="0.3">
      <c r="A22" t="s">
        <v>497</v>
      </c>
      <c r="B22" t="s">
        <v>1250</v>
      </c>
      <c r="C22" t="s">
        <v>1251</v>
      </c>
      <c r="D22" t="s">
        <v>1177</v>
      </c>
    </row>
    <row r="23" spans="1:7" hidden="1" x14ac:dyDescent="0.3">
      <c r="A23" t="s">
        <v>497</v>
      </c>
      <c r="B23" t="s">
        <v>1250</v>
      </c>
      <c r="C23" t="s">
        <v>1251</v>
      </c>
      <c r="D23" t="s">
        <v>1178</v>
      </c>
    </row>
    <row r="24" spans="1:7" hidden="1" x14ac:dyDescent="0.3">
      <c r="A24" t="s">
        <v>497</v>
      </c>
      <c r="B24" t="s">
        <v>1250</v>
      </c>
      <c r="C24" t="s">
        <v>1251</v>
      </c>
      <c r="D24" t="s">
        <v>1179</v>
      </c>
    </row>
    <row r="25" spans="1:7" hidden="1" x14ac:dyDescent="0.3">
      <c r="A25" t="s">
        <v>497</v>
      </c>
      <c r="B25" t="s">
        <v>1250</v>
      </c>
      <c r="C25" t="s">
        <v>1251</v>
      </c>
      <c r="D25" t="s">
        <v>1180</v>
      </c>
    </row>
    <row r="26" spans="1:7" hidden="1" x14ac:dyDescent="0.3">
      <c r="A26" t="s">
        <v>497</v>
      </c>
      <c r="B26" t="s">
        <v>1250</v>
      </c>
      <c r="C26" t="s">
        <v>1251</v>
      </c>
      <c r="D26" t="s">
        <v>1181</v>
      </c>
    </row>
    <row r="27" spans="1:7" x14ac:dyDescent="0.3">
      <c r="A27" t="s">
        <v>497</v>
      </c>
      <c r="B27" t="s">
        <v>1252</v>
      </c>
      <c r="C27" t="s">
        <v>54</v>
      </c>
      <c r="D27" t="s">
        <v>1170</v>
      </c>
      <c r="E27" s="377">
        <v>204.5</v>
      </c>
      <c r="F27" s="377">
        <v>204.5</v>
      </c>
      <c r="G27" s="377">
        <v>0</v>
      </c>
    </row>
    <row r="28" spans="1:7" x14ac:dyDescent="0.3">
      <c r="A28" t="s">
        <v>497</v>
      </c>
      <c r="B28" t="s">
        <v>1252</v>
      </c>
      <c r="C28" t="s">
        <v>54</v>
      </c>
      <c r="D28" t="s">
        <v>1171</v>
      </c>
      <c r="E28" s="377">
        <v>205.2</v>
      </c>
      <c r="F28" s="377">
        <v>205.2</v>
      </c>
      <c r="G28" s="377">
        <v>0</v>
      </c>
    </row>
    <row r="29" spans="1:7" x14ac:dyDescent="0.3">
      <c r="A29" t="s">
        <v>497</v>
      </c>
      <c r="B29" t="s">
        <v>1252</v>
      </c>
      <c r="C29" t="s">
        <v>54</v>
      </c>
      <c r="D29" t="s">
        <v>1172</v>
      </c>
      <c r="E29" s="377">
        <v>519.29999999999995</v>
      </c>
      <c r="F29" s="377">
        <v>519.29999999999995</v>
      </c>
      <c r="G29" s="377">
        <v>0</v>
      </c>
    </row>
    <row r="30" spans="1:7" x14ac:dyDescent="0.3">
      <c r="A30" t="s">
        <v>497</v>
      </c>
      <c r="B30" t="s">
        <v>1252</v>
      </c>
      <c r="C30" t="s">
        <v>54</v>
      </c>
      <c r="D30" t="s">
        <v>1173</v>
      </c>
      <c r="E30" s="377">
        <v>216.9</v>
      </c>
      <c r="F30" s="377">
        <v>216.9</v>
      </c>
      <c r="G30" s="377">
        <v>0</v>
      </c>
    </row>
    <row r="31" spans="1:7" x14ac:dyDescent="0.3">
      <c r="A31" t="s">
        <v>497</v>
      </c>
      <c r="B31" t="s">
        <v>1252</v>
      </c>
      <c r="C31" t="s">
        <v>54</v>
      </c>
      <c r="D31" t="s">
        <v>1174</v>
      </c>
      <c r="E31" s="377">
        <v>234.9</v>
      </c>
      <c r="F31" s="377">
        <v>234.9</v>
      </c>
      <c r="G31" s="377">
        <v>0</v>
      </c>
    </row>
    <row r="32" spans="1:7" x14ac:dyDescent="0.3">
      <c r="A32" t="s">
        <v>497</v>
      </c>
      <c r="B32" t="s">
        <v>1252</v>
      </c>
      <c r="C32" t="s">
        <v>54</v>
      </c>
      <c r="D32" t="s">
        <v>1175</v>
      </c>
      <c r="E32" s="377">
        <v>229.3</v>
      </c>
      <c r="F32" s="377">
        <v>229.3</v>
      </c>
      <c r="G32" s="377">
        <v>0</v>
      </c>
    </row>
    <row r="33" spans="1:7" x14ac:dyDescent="0.3">
      <c r="A33" t="s">
        <v>497</v>
      </c>
      <c r="B33" t="s">
        <v>1252</v>
      </c>
      <c r="C33" t="s">
        <v>54</v>
      </c>
      <c r="D33" t="s">
        <v>1176</v>
      </c>
      <c r="E33" s="377">
        <v>195.19900000000001</v>
      </c>
      <c r="F33" s="377">
        <v>195.19900000000001</v>
      </c>
      <c r="G33" s="377">
        <v>0</v>
      </c>
    </row>
    <row r="34" spans="1:7" x14ac:dyDescent="0.3">
      <c r="A34" t="s">
        <v>497</v>
      </c>
      <c r="B34" t="s">
        <v>1252</v>
      </c>
      <c r="C34" t="s">
        <v>54</v>
      </c>
      <c r="D34" t="s">
        <v>1177</v>
      </c>
      <c r="E34" s="377">
        <v>252.601</v>
      </c>
      <c r="F34" s="377">
        <v>252.601</v>
      </c>
      <c r="G34" s="377">
        <v>0</v>
      </c>
    </row>
    <row r="35" spans="1:7" x14ac:dyDescent="0.3">
      <c r="A35" t="s">
        <v>497</v>
      </c>
      <c r="B35" t="s">
        <v>1252</v>
      </c>
      <c r="C35" t="s">
        <v>54</v>
      </c>
      <c r="D35" t="s">
        <v>1178</v>
      </c>
      <c r="E35" s="377">
        <v>270.3</v>
      </c>
      <c r="F35" s="377">
        <v>270.3</v>
      </c>
      <c r="G35" s="377">
        <v>0</v>
      </c>
    </row>
    <row r="36" spans="1:7" x14ac:dyDescent="0.3">
      <c r="A36" t="s">
        <v>497</v>
      </c>
      <c r="B36" t="s">
        <v>1252</v>
      </c>
      <c r="C36" t="s">
        <v>54</v>
      </c>
      <c r="D36" t="s">
        <v>1179</v>
      </c>
      <c r="E36" s="377">
        <v>248.4</v>
      </c>
      <c r="F36" s="377">
        <v>248.4</v>
      </c>
      <c r="G36" s="377">
        <v>0</v>
      </c>
    </row>
    <row r="37" spans="1:7" x14ac:dyDescent="0.3">
      <c r="A37" t="s">
        <v>497</v>
      </c>
      <c r="B37" t="s">
        <v>1252</v>
      </c>
      <c r="C37" t="s">
        <v>54</v>
      </c>
      <c r="D37" t="s">
        <v>1180</v>
      </c>
      <c r="E37" s="377">
        <v>206.2</v>
      </c>
      <c r="F37" s="377">
        <v>0</v>
      </c>
      <c r="G37" s="377">
        <v>206.2</v>
      </c>
    </row>
    <row r="38" spans="1:7" x14ac:dyDescent="0.3">
      <c r="A38" t="s">
        <v>497</v>
      </c>
      <c r="B38" t="s">
        <v>1252</v>
      </c>
      <c r="C38" t="s">
        <v>54</v>
      </c>
      <c r="D38" t="s">
        <v>1181</v>
      </c>
      <c r="E38" s="377">
        <v>164</v>
      </c>
      <c r="F38" s="377">
        <v>164</v>
      </c>
      <c r="G38" s="377">
        <v>0</v>
      </c>
    </row>
    <row r="39" spans="1:7" hidden="1" x14ac:dyDescent="0.3">
      <c r="A39" t="s">
        <v>497</v>
      </c>
      <c r="B39" t="s">
        <v>1168</v>
      </c>
      <c r="C39" t="s">
        <v>1169</v>
      </c>
      <c r="D39" t="s">
        <v>1170</v>
      </c>
    </row>
    <row r="40" spans="1:7" hidden="1" x14ac:dyDescent="0.3">
      <c r="A40" t="s">
        <v>497</v>
      </c>
      <c r="B40" t="s">
        <v>1168</v>
      </c>
      <c r="C40" t="s">
        <v>1169</v>
      </c>
      <c r="D40" t="s">
        <v>1171</v>
      </c>
    </row>
    <row r="41" spans="1:7" hidden="1" x14ac:dyDescent="0.3">
      <c r="A41" t="s">
        <v>497</v>
      </c>
      <c r="B41" t="s">
        <v>1168</v>
      </c>
      <c r="C41" t="s">
        <v>1169</v>
      </c>
      <c r="D41" t="s">
        <v>1172</v>
      </c>
    </row>
    <row r="42" spans="1:7" hidden="1" x14ac:dyDescent="0.3">
      <c r="A42" t="s">
        <v>497</v>
      </c>
      <c r="B42" t="s">
        <v>1168</v>
      </c>
      <c r="C42" t="s">
        <v>1169</v>
      </c>
      <c r="D42" t="s">
        <v>1173</v>
      </c>
    </row>
    <row r="43" spans="1:7" hidden="1" x14ac:dyDescent="0.3">
      <c r="A43" t="s">
        <v>497</v>
      </c>
      <c r="B43" t="s">
        <v>1168</v>
      </c>
      <c r="C43" t="s">
        <v>1169</v>
      </c>
      <c r="D43" t="s">
        <v>1174</v>
      </c>
    </row>
    <row r="44" spans="1:7" hidden="1" x14ac:dyDescent="0.3">
      <c r="A44" t="s">
        <v>497</v>
      </c>
      <c r="B44" t="s">
        <v>1168</v>
      </c>
      <c r="C44" t="s">
        <v>1169</v>
      </c>
      <c r="D44" t="s">
        <v>1175</v>
      </c>
    </row>
    <row r="45" spans="1:7" hidden="1" x14ac:dyDescent="0.3">
      <c r="A45" t="s">
        <v>497</v>
      </c>
      <c r="B45" t="s">
        <v>1168</v>
      </c>
      <c r="C45" t="s">
        <v>1169</v>
      </c>
      <c r="D45" t="s">
        <v>1176</v>
      </c>
    </row>
    <row r="46" spans="1:7" hidden="1" x14ac:dyDescent="0.3">
      <c r="A46" t="s">
        <v>497</v>
      </c>
      <c r="B46" t="s">
        <v>1168</v>
      </c>
      <c r="C46" t="s">
        <v>1169</v>
      </c>
      <c r="D46" t="s">
        <v>1177</v>
      </c>
    </row>
    <row r="47" spans="1:7" hidden="1" x14ac:dyDescent="0.3">
      <c r="A47" t="s">
        <v>497</v>
      </c>
      <c r="B47" t="s">
        <v>1168</v>
      </c>
      <c r="C47" t="s">
        <v>1169</v>
      </c>
      <c r="D47" t="s">
        <v>1178</v>
      </c>
    </row>
    <row r="48" spans="1:7" hidden="1" x14ac:dyDescent="0.3">
      <c r="A48" t="s">
        <v>497</v>
      </c>
      <c r="B48" t="s">
        <v>1168</v>
      </c>
      <c r="C48" t="s">
        <v>1169</v>
      </c>
      <c r="D48" t="s">
        <v>1179</v>
      </c>
    </row>
    <row r="49" spans="1:4" hidden="1" x14ac:dyDescent="0.3">
      <c r="A49" t="s">
        <v>497</v>
      </c>
      <c r="B49" t="s">
        <v>1168</v>
      </c>
      <c r="C49" t="s">
        <v>1169</v>
      </c>
      <c r="D49" t="s">
        <v>1180</v>
      </c>
    </row>
    <row r="50" spans="1:4" hidden="1" x14ac:dyDescent="0.3">
      <c r="A50" t="s">
        <v>497</v>
      </c>
      <c r="B50" t="s">
        <v>1168</v>
      </c>
      <c r="C50" t="s">
        <v>1169</v>
      </c>
      <c r="D50" t="s">
        <v>1181</v>
      </c>
    </row>
    <row r="51" spans="1:4" hidden="1" x14ac:dyDescent="0.3">
      <c r="A51" t="s">
        <v>497</v>
      </c>
      <c r="B51" t="s">
        <v>1253</v>
      </c>
      <c r="C51" t="s">
        <v>1169</v>
      </c>
      <c r="D51" t="s">
        <v>1170</v>
      </c>
    </row>
    <row r="52" spans="1:4" hidden="1" x14ac:dyDescent="0.3">
      <c r="A52" t="s">
        <v>497</v>
      </c>
      <c r="B52" t="s">
        <v>1253</v>
      </c>
      <c r="C52" t="s">
        <v>1169</v>
      </c>
      <c r="D52" t="s">
        <v>1171</v>
      </c>
    </row>
    <row r="53" spans="1:4" hidden="1" x14ac:dyDescent="0.3">
      <c r="A53" t="s">
        <v>497</v>
      </c>
      <c r="B53" t="s">
        <v>1253</v>
      </c>
      <c r="C53" t="s">
        <v>1169</v>
      </c>
      <c r="D53" t="s">
        <v>1172</v>
      </c>
    </row>
    <row r="54" spans="1:4" hidden="1" x14ac:dyDescent="0.3">
      <c r="A54" t="s">
        <v>497</v>
      </c>
      <c r="B54" t="s">
        <v>1253</v>
      </c>
      <c r="C54" t="s">
        <v>1169</v>
      </c>
      <c r="D54" t="s">
        <v>1173</v>
      </c>
    </row>
    <row r="55" spans="1:4" hidden="1" x14ac:dyDescent="0.3">
      <c r="A55" t="s">
        <v>497</v>
      </c>
      <c r="B55" t="s">
        <v>1253</v>
      </c>
      <c r="C55" t="s">
        <v>1169</v>
      </c>
      <c r="D55" t="s">
        <v>1174</v>
      </c>
    </row>
    <row r="56" spans="1:4" hidden="1" x14ac:dyDescent="0.3">
      <c r="A56" t="s">
        <v>497</v>
      </c>
      <c r="B56" t="s">
        <v>1253</v>
      </c>
      <c r="C56" t="s">
        <v>1169</v>
      </c>
      <c r="D56" t="s">
        <v>1175</v>
      </c>
    </row>
    <row r="57" spans="1:4" hidden="1" x14ac:dyDescent="0.3">
      <c r="A57" t="s">
        <v>497</v>
      </c>
      <c r="B57" t="s">
        <v>1253</v>
      </c>
      <c r="C57" t="s">
        <v>1169</v>
      </c>
      <c r="D57" t="s">
        <v>1176</v>
      </c>
    </row>
    <row r="58" spans="1:4" hidden="1" x14ac:dyDescent="0.3">
      <c r="A58" t="s">
        <v>497</v>
      </c>
      <c r="B58" t="s">
        <v>1253</v>
      </c>
      <c r="C58" t="s">
        <v>1169</v>
      </c>
      <c r="D58" t="s">
        <v>1177</v>
      </c>
    </row>
    <row r="59" spans="1:4" hidden="1" x14ac:dyDescent="0.3">
      <c r="A59" t="s">
        <v>497</v>
      </c>
      <c r="B59" t="s">
        <v>1253</v>
      </c>
      <c r="C59" t="s">
        <v>1169</v>
      </c>
      <c r="D59" t="s">
        <v>1178</v>
      </c>
    </row>
    <row r="60" spans="1:4" hidden="1" x14ac:dyDescent="0.3">
      <c r="A60" t="s">
        <v>497</v>
      </c>
      <c r="B60" t="s">
        <v>1253</v>
      </c>
      <c r="C60" t="s">
        <v>1169</v>
      </c>
      <c r="D60" t="s">
        <v>1179</v>
      </c>
    </row>
    <row r="61" spans="1:4" hidden="1" x14ac:dyDescent="0.3">
      <c r="A61" t="s">
        <v>497</v>
      </c>
      <c r="B61" t="s">
        <v>1253</v>
      </c>
      <c r="C61" t="s">
        <v>1169</v>
      </c>
      <c r="D61" t="s">
        <v>1180</v>
      </c>
    </row>
    <row r="62" spans="1:4" hidden="1" x14ac:dyDescent="0.3">
      <c r="A62" t="s">
        <v>497</v>
      </c>
      <c r="B62" t="s">
        <v>1253</v>
      </c>
      <c r="C62" t="s">
        <v>1169</v>
      </c>
      <c r="D62" t="s">
        <v>1181</v>
      </c>
    </row>
    <row r="63" spans="1:4" hidden="1" x14ac:dyDescent="0.3">
      <c r="A63" t="s">
        <v>497</v>
      </c>
      <c r="B63" t="s">
        <v>1254</v>
      </c>
      <c r="C63" t="s">
        <v>1169</v>
      </c>
      <c r="D63" t="s">
        <v>1170</v>
      </c>
    </row>
    <row r="64" spans="1:4" hidden="1" x14ac:dyDescent="0.3">
      <c r="A64" t="s">
        <v>497</v>
      </c>
      <c r="B64" t="s">
        <v>1254</v>
      </c>
      <c r="C64" t="s">
        <v>1169</v>
      </c>
      <c r="D64" t="s">
        <v>1171</v>
      </c>
    </row>
    <row r="65" spans="1:4" hidden="1" x14ac:dyDescent="0.3">
      <c r="A65" t="s">
        <v>497</v>
      </c>
      <c r="B65" t="s">
        <v>1254</v>
      </c>
      <c r="C65" t="s">
        <v>1169</v>
      </c>
      <c r="D65" t="s">
        <v>1172</v>
      </c>
    </row>
    <row r="66" spans="1:4" hidden="1" x14ac:dyDescent="0.3">
      <c r="A66" t="s">
        <v>497</v>
      </c>
      <c r="B66" t="s">
        <v>1254</v>
      </c>
      <c r="C66" t="s">
        <v>1169</v>
      </c>
      <c r="D66" t="s">
        <v>1173</v>
      </c>
    </row>
    <row r="67" spans="1:4" hidden="1" x14ac:dyDescent="0.3">
      <c r="A67" t="s">
        <v>497</v>
      </c>
      <c r="B67" t="s">
        <v>1254</v>
      </c>
      <c r="C67" t="s">
        <v>1169</v>
      </c>
      <c r="D67" t="s">
        <v>1174</v>
      </c>
    </row>
    <row r="68" spans="1:4" hidden="1" x14ac:dyDescent="0.3">
      <c r="A68" t="s">
        <v>497</v>
      </c>
      <c r="B68" t="s">
        <v>1254</v>
      </c>
      <c r="C68" t="s">
        <v>1169</v>
      </c>
      <c r="D68" t="s">
        <v>1175</v>
      </c>
    </row>
    <row r="69" spans="1:4" hidden="1" x14ac:dyDescent="0.3">
      <c r="A69" t="s">
        <v>497</v>
      </c>
      <c r="B69" t="s">
        <v>1254</v>
      </c>
      <c r="C69" t="s">
        <v>1169</v>
      </c>
      <c r="D69" t="s">
        <v>1176</v>
      </c>
    </row>
    <row r="70" spans="1:4" hidden="1" x14ac:dyDescent="0.3">
      <c r="A70" t="s">
        <v>497</v>
      </c>
      <c r="B70" t="s">
        <v>1254</v>
      </c>
      <c r="C70" t="s">
        <v>1169</v>
      </c>
      <c r="D70" t="s">
        <v>1177</v>
      </c>
    </row>
    <row r="71" spans="1:4" hidden="1" x14ac:dyDescent="0.3">
      <c r="A71" t="s">
        <v>497</v>
      </c>
      <c r="B71" t="s">
        <v>1254</v>
      </c>
      <c r="C71" t="s">
        <v>1169</v>
      </c>
      <c r="D71" t="s">
        <v>1178</v>
      </c>
    </row>
    <row r="72" spans="1:4" hidden="1" x14ac:dyDescent="0.3">
      <c r="A72" t="s">
        <v>497</v>
      </c>
      <c r="B72" t="s">
        <v>1254</v>
      </c>
      <c r="C72" t="s">
        <v>1169</v>
      </c>
      <c r="D72" t="s">
        <v>1179</v>
      </c>
    </row>
    <row r="73" spans="1:4" hidden="1" x14ac:dyDescent="0.3">
      <c r="A73" t="s">
        <v>497</v>
      </c>
      <c r="B73" t="s">
        <v>1254</v>
      </c>
      <c r="C73" t="s">
        <v>1169</v>
      </c>
      <c r="D73" t="s">
        <v>1180</v>
      </c>
    </row>
    <row r="74" spans="1:4" hidden="1" x14ac:dyDescent="0.3">
      <c r="A74" t="s">
        <v>497</v>
      </c>
      <c r="B74" t="s">
        <v>1254</v>
      </c>
      <c r="C74" t="s">
        <v>1169</v>
      </c>
      <c r="D74" t="s">
        <v>1181</v>
      </c>
    </row>
    <row r="75" spans="1:4" hidden="1" x14ac:dyDescent="0.3">
      <c r="A75" t="s">
        <v>497</v>
      </c>
      <c r="B75" t="s">
        <v>1255</v>
      </c>
      <c r="C75" t="s">
        <v>1169</v>
      </c>
      <c r="D75" t="s">
        <v>1170</v>
      </c>
    </row>
    <row r="76" spans="1:4" hidden="1" x14ac:dyDescent="0.3">
      <c r="A76" t="s">
        <v>497</v>
      </c>
      <c r="B76" t="s">
        <v>1255</v>
      </c>
      <c r="C76" t="s">
        <v>1169</v>
      </c>
      <c r="D76" t="s">
        <v>1171</v>
      </c>
    </row>
    <row r="77" spans="1:4" hidden="1" x14ac:dyDescent="0.3">
      <c r="A77" t="s">
        <v>497</v>
      </c>
      <c r="B77" t="s">
        <v>1255</v>
      </c>
      <c r="C77" t="s">
        <v>1169</v>
      </c>
      <c r="D77" t="s">
        <v>1172</v>
      </c>
    </row>
    <row r="78" spans="1:4" hidden="1" x14ac:dyDescent="0.3">
      <c r="A78" t="s">
        <v>497</v>
      </c>
      <c r="B78" t="s">
        <v>1255</v>
      </c>
      <c r="C78" t="s">
        <v>1169</v>
      </c>
      <c r="D78" t="s">
        <v>1173</v>
      </c>
    </row>
    <row r="79" spans="1:4" hidden="1" x14ac:dyDescent="0.3">
      <c r="A79" t="s">
        <v>497</v>
      </c>
      <c r="B79" t="s">
        <v>1255</v>
      </c>
      <c r="C79" t="s">
        <v>1169</v>
      </c>
      <c r="D79" t="s">
        <v>1174</v>
      </c>
    </row>
    <row r="80" spans="1:4" hidden="1" x14ac:dyDescent="0.3">
      <c r="A80" t="s">
        <v>497</v>
      </c>
      <c r="B80" t="s">
        <v>1255</v>
      </c>
      <c r="C80" t="s">
        <v>1169</v>
      </c>
      <c r="D80" t="s">
        <v>1175</v>
      </c>
    </row>
    <row r="81" spans="1:4" hidden="1" x14ac:dyDescent="0.3">
      <c r="A81" t="s">
        <v>497</v>
      </c>
      <c r="B81" t="s">
        <v>1255</v>
      </c>
      <c r="C81" t="s">
        <v>1169</v>
      </c>
      <c r="D81" t="s">
        <v>1176</v>
      </c>
    </row>
    <row r="82" spans="1:4" hidden="1" x14ac:dyDescent="0.3">
      <c r="A82" t="s">
        <v>497</v>
      </c>
      <c r="B82" t="s">
        <v>1255</v>
      </c>
      <c r="C82" t="s">
        <v>1169</v>
      </c>
      <c r="D82" t="s">
        <v>1177</v>
      </c>
    </row>
    <row r="83" spans="1:4" hidden="1" x14ac:dyDescent="0.3">
      <c r="A83" t="s">
        <v>497</v>
      </c>
      <c r="B83" t="s">
        <v>1255</v>
      </c>
      <c r="C83" t="s">
        <v>1169</v>
      </c>
      <c r="D83" t="s">
        <v>1178</v>
      </c>
    </row>
    <row r="84" spans="1:4" hidden="1" x14ac:dyDescent="0.3">
      <c r="A84" t="s">
        <v>497</v>
      </c>
      <c r="B84" t="s">
        <v>1255</v>
      </c>
      <c r="C84" t="s">
        <v>1169</v>
      </c>
      <c r="D84" t="s">
        <v>1179</v>
      </c>
    </row>
    <row r="85" spans="1:4" hidden="1" x14ac:dyDescent="0.3">
      <c r="A85" t="s">
        <v>497</v>
      </c>
      <c r="B85" t="s">
        <v>1255</v>
      </c>
      <c r="C85" t="s">
        <v>1169</v>
      </c>
      <c r="D85" t="s">
        <v>1180</v>
      </c>
    </row>
    <row r="86" spans="1:4" hidden="1" x14ac:dyDescent="0.3">
      <c r="A86" t="s">
        <v>497</v>
      </c>
      <c r="B86" t="s">
        <v>1255</v>
      </c>
      <c r="C86" t="s">
        <v>1169</v>
      </c>
      <c r="D86" t="s">
        <v>1181</v>
      </c>
    </row>
    <row r="87" spans="1:4" hidden="1" x14ac:dyDescent="0.3">
      <c r="A87" t="s">
        <v>497</v>
      </c>
      <c r="B87" t="s">
        <v>1256</v>
      </c>
      <c r="C87" t="s">
        <v>1169</v>
      </c>
      <c r="D87" t="s">
        <v>1170</v>
      </c>
    </row>
    <row r="88" spans="1:4" hidden="1" x14ac:dyDescent="0.3">
      <c r="A88" t="s">
        <v>497</v>
      </c>
      <c r="B88" t="s">
        <v>1256</v>
      </c>
      <c r="C88" t="s">
        <v>1169</v>
      </c>
      <c r="D88" t="s">
        <v>1171</v>
      </c>
    </row>
    <row r="89" spans="1:4" hidden="1" x14ac:dyDescent="0.3">
      <c r="A89" t="s">
        <v>497</v>
      </c>
      <c r="B89" t="s">
        <v>1256</v>
      </c>
      <c r="C89" t="s">
        <v>1169</v>
      </c>
      <c r="D89" t="s">
        <v>1172</v>
      </c>
    </row>
    <row r="90" spans="1:4" hidden="1" x14ac:dyDescent="0.3">
      <c r="A90" t="s">
        <v>497</v>
      </c>
      <c r="B90" t="s">
        <v>1256</v>
      </c>
      <c r="C90" t="s">
        <v>1169</v>
      </c>
      <c r="D90" t="s">
        <v>1173</v>
      </c>
    </row>
    <row r="91" spans="1:4" hidden="1" x14ac:dyDescent="0.3">
      <c r="A91" t="s">
        <v>497</v>
      </c>
      <c r="B91" t="s">
        <v>1256</v>
      </c>
      <c r="C91" t="s">
        <v>1169</v>
      </c>
      <c r="D91" t="s">
        <v>1174</v>
      </c>
    </row>
    <row r="92" spans="1:4" hidden="1" x14ac:dyDescent="0.3">
      <c r="A92" t="s">
        <v>497</v>
      </c>
      <c r="B92" t="s">
        <v>1256</v>
      </c>
      <c r="C92" t="s">
        <v>1169</v>
      </c>
      <c r="D92" t="s">
        <v>1175</v>
      </c>
    </row>
    <row r="93" spans="1:4" hidden="1" x14ac:dyDescent="0.3">
      <c r="A93" t="s">
        <v>497</v>
      </c>
      <c r="B93" t="s">
        <v>1256</v>
      </c>
      <c r="C93" t="s">
        <v>1169</v>
      </c>
      <c r="D93" t="s">
        <v>1176</v>
      </c>
    </row>
    <row r="94" spans="1:4" hidden="1" x14ac:dyDescent="0.3">
      <c r="A94" t="s">
        <v>497</v>
      </c>
      <c r="B94" t="s">
        <v>1256</v>
      </c>
      <c r="C94" t="s">
        <v>1169</v>
      </c>
      <c r="D94" t="s">
        <v>1177</v>
      </c>
    </row>
    <row r="95" spans="1:4" hidden="1" x14ac:dyDescent="0.3">
      <c r="A95" t="s">
        <v>497</v>
      </c>
      <c r="B95" t="s">
        <v>1256</v>
      </c>
      <c r="C95" t="s">
        <v>1169</v>
      </c>
      <c r="D95" t="s">
        <v>1178</v>
      </c>
    </row>
    <row r="96" spans="1:4" hidden="1" x14ac:dyDescent="0.3">
      <c r="A96" t="s">
        <v>497</v>
      </c>
      <c r="B96" t="s">
        <v>1256</v>
      </c>
      <c r="C96" t="s">
        <v>1169</v>
      </c>
      <c r="D96" t="s">
        <v>1179</v>
      </c>
    </row>
    <row r="97" spans="1:4" hidden="1" x14ac:dyDescent="0.3">
      <c r="A97" t="s">
        <v>497</v>
      </c>
      <c r="B97" t="s">
        <v>1256</v>
      </c>
      <c r="C97" t="s">
        <v>1169</v>
      </c>
      <c r="D97" t="s">
        <v>1180</v>
      </c>
    </row>
    <row r="98" spans="1:4" hidden="1" x14ac:dyDescent="0.3">
      <c r="A98" t="s">
        <v>497</v>
      </c>
      <c r="B98" t="s">
        <v>1256</v>
      </c>
      <c r="C98" t="s">
        <v>1169</v>
      </c>
      <c r="D98" t="s">
        <v>1181</v>
      </c>
    </row>
    <row r="99" spans="1:4" hidden="1" x14ac:dyDescent="0.3">
      <c r="A99" t="s">
        <v>497</v>
      </c>
      <c r="B99" t="s">
        <v>1257</v>
      </c>
      <c r="C99" t="s">
        <v>1169</v>
      </c>
      <c r="D99" t="s">
        <v>1170</v>
      </c>
    </row>
    <row r="100" spans="1:4" hidden="1" x14ac:dyDescent="0.3">
      <c r="A100" t="s">
        <v>497</v>
      </c>
      <c r="B100" t="s">
        <v>1257</v>
      </c>
      <c r="C100" t="s">
        <v>1169</v>
      </c>
      <c r="D100" t="s">
        <v>1171</v>
      </c>
    </row>
    <row r="101" spans="1:4" hidden="1" x14ac:dyDescent="0.3">
      <c r="A101" t="s">
        <v>497</v>
      </c>
      <c r="B101" t="s">
        <v>1257</v>
      </c>
      <c r="C101" t="s">
        <v>1169</v>
      </c>
      <c r="D101" t="s">
        <v>1172</v>
      </c>
    </row>
    <row r="102" spans="1:4" hidden="1" x14ac:dyDescent="0.3">
      <c r="A102" t="s">
        <v>497</v>
      </c>
      <c r="B102" t="s">
        <v>1257</v>
      </c>
      <c r="C102" t="s">
        <v>1169</v>
      </c>
      <c r="D102" t="s">
        <v>1173</v>
      </c>
    </row>
    <row r="103" spans="1:4" hidden="1" x14ac:dyDescent="0.3">
      <c r="A103" t="s">
        <v>497</v>
      </c>
      <c r="B103" t="s">
        <v>1257</v>
      </c>
      <c r="C103" t="s">
        <v>1169</v>
      </c>
      <c r="D103" t="s">
        <v>1174</v>
      </c>
    </row>
    <row r="104" spans="1:4" hidden="1" x14ac:dyDescent="0.3">
      <c r="A104" t="s">
        <v>497</v>
      </c>
      <c r="B104" t="s">
        <v>1257</v>
      </c>
      <c r="C104" t="s">
        <v>1169</v>
      </c>
      <c r="D104" t="s">
        <v>1175</v>
      </c>
    </row>
    <row r="105" spans="1:4" hidden="1" x14ac:dyDescent="0.3">
      <c r="A105" t="s">
        <v>497</v>
      </c>
      <c r="B105" t="s">
        <v>1257</v>
      </c>
      <c r="C105" t="s">
        <v>1169</v>
      </c>
      <c r="D105" t="s">
        <v>1176</v>
      </c>
    </row>
    <row r="106" spans="1:4" hidden="1" x14ac:dyDescent="0.3">
      <c r="A106" t="s">
        <v>497</v>
      </c>
      <c r="B106" t="s">
        <v>1257</v>
      </c>
      <c r="C106" t="s">
        <v>1169</v>
      </c>
      <c r="D106" t="s">
        <v>1177</v>
      </c>
    </row>
    <row r="107" spans="1:4" hidden="1" x14ac:dyDescent="0.3">
      <c r="A107" t="s">
        <v>497</v>
      </c>
      <c r="B107" t="s">
        <v>1257</v>
      </c>
      <c r="C107" t="s">
        <v>1169</v>
      </c>
      <c r="D107" t="s">
        <v>1178</v>
      </c>
    </row>
    <row r="108" spans="1:4" hidden="1" x14ac:dyDescent="0.3">
      <c r="A108" t="s">
        <v>497</v>
      </c>
      <c r="B108" t="s">
        <v>1257</v>
      </c>
      <c r="C108" t="s">
        <v>1169</v>
      </c>
      <c r="D108" t="s">
        <v>1179</v>
      </c>
    </row>
    <row r="109" spans="1:4" hidden="1" x14ac:dyDescent="0.3">
      <c r="A109" t="s">
        <v>497</v>
      </c>
      <c r="B109" t="s">
        <v>1257</v>
      </c>
      <c r="C109" t="s">
        <v>1169</v>
      </c>
      <c r="D109" t="s">
        <v>1180</v>
      </c>
    </row>
    <row r="110" spans="1:4" hidden="1" x14ac:dyDescent="0.3">
      <c r="A110" t="s">
        <v>497</v>
      </c>
      <c r="B110" t="s">
        <v>1257</v>
      </c>
      <c r="C110" t="s">
        <v>1169</v>
      </c>
      <c r="D110" t="s">
        <v>1181</v>
      </c>
    </row>
    <row r="111" spans="1:4" hidden="1" x14ac:dyDescent="0.3">
      <c r="A111" t="s">
        <v>497</v>
      </c>
      <c r="B111" t="s">
        <v>1258</v>
      </c>
      <c r="C111" t="s">
        <v>1169</v>
      </c>
      <c r="D111" t="s">
        <v>1170</v>
      </c>
    </row>
    <row r="112" spans="1:4" hidden="1" x14ac:dyDescent="0.3">
      <c r="A112" t="s">
        <v>497</v>
      </c>
      <c r="B112" t="s">
        <v>1258</v>
      </c>
      <c r="C112" t="s">
        <v>1169</v>
      </c>
      <c r="D112" t="s">
        <v>1171</v>
      </c>
    </row>
    <row r="113" spans="1:4" hidden="1" x14ac:dyDescent="0.3">
      <c r="A113" t="s">
        <v>497</v>
      </c>
      <c r="B113" t="s">
        <v>1258</v>
      </c>
      <c r="C113" t="s">
        <v>1169</v>
      </c>
      <c r="D113" t="s">
        <v>1172</v>
      </c>
    </row>
    <row r="114" spans="1:4" hidden="1" x14ac:dyDescent="0.3">
      <c r="A114" t="s">
        <v>497</v>
      </c>
      <c r="B114" t="s">
        <v>1258</v>
      </c>
      <c r="C114" t="s">
        <v>1169</v>
      </c>
      <c r="D114" t="s">
        <v>1173</v>
      </c>
    </row>
    <row r="115" spans="1:4" hidden="1" x14ac:dyDescent="0.3">
      <c r="A115" t="s">
        <v>497</v>
      </c>
      <c r="B115" t="s">
        <v>1258</v>
      </c>
      <c r="C115" t="s">
        <v>1169</v>
      </c>
      <c r="D115" t="s">
        <v>1174</v>
      </c>
    </row>
    <row r="116" spans="1:4" hidden="1" x14ac:dyDescent="0.3">
      <c r="A116" t="s">
        <v>497</v>
      </c>
      <c r="B116" t="s">
        <v>1258</v>
      </c>
      <c r="C116" t="s">
        <v>1169</v>
      </c>
      <c r="D116" t="s">
        <v>1175</v>
      </c>
    </row>
    <row r="117" spans="1:4" hidden="1" x14ac:dyDescent="0.3">
      <c r="A117" t="s">
        <v>497</v>
      </c>
      <c r="B117" t="s">
        <v>1258</v>
      </c>
      <c r="C117" t="s">
        <v>1169</v>
      </c>
      <c r="D117" t="s">
        <v>1176</v>
      </c>
    </row>
    <row r="118" spans="1:4" hidden="1" x14ac:dyDescent="0.3">
      <c r="A118" t="s">
        <v>497</v>
      </c>
      <c r="B118" t="s">
        <v>1258</v>
      </c>
      <c r="C118" t="s">
        <v>1169</v>
      </c>
      <c r="D118" t="s">
        <v>1177</v>
      </c>
    </row>
    <row r="119" spans="1:4" hidden="1" x14ac:dyDescent="0.3">
      <c r="A119" t="s">
        <v>497</v>
      </c>
      <c r="B119" t="s">
        <v>1258</v>
      </c>
      <c r="C119" t="s">
        <v>1169</v>
      </c>
      <c r="D119" t="s">
        <v>1178</v>
      </c>
    </row>
    <row r="120" spans="1:4" hidden="1" x14ac:dyDescent="0.3">
      <c r="A120" t="s">
        <v>497</v>
      </c>
      <c r="B120" t="s">
        <v>1258</v>
      </c>
      <c r="C120" t="s">
        <v>1169</v>
      </c>
      <c r="D120" t="s">
        <v>1179</v>
      </c>
    </row>
    <row r="121" spans="1:4" hidden="1" x14ac:dyDescent="0.3">
      <c r="A121" t="s">
        <v>497</v>
      </c>
      <c r="B121" t="s">
        <v>1258</v>
      </c>
      <c r="C121" t="s">
        <v>1169</v>
      </c>
      <c r="D121" t="s">
        <v>1180</v>
      </c>
    </row>
    <row r="122" spans="1:4" hidden="1" x14ac:dyDescent="0.3">
      <c r="A122" t="s">
        <v>497</v>
      </c>
      <c r="B122" t="s">
        <v>1258</v>
      </c>
      <c r="C122" t="s">
        <v>1169</v>
      </c>
      <c r="D122" t="s">
        <v>1181</v>
      </c>
    </row>
    <row r="123" spans="1:4" hidden="1" x14ac:dyDescent="0.3">
      <c r="A123" t="s">
        <v>497</v>
      </c>
      <c r="B123" t="s">
        <v>1259</v>
      </c>
      <c r="C123" t="s">
        <v>61</v>
      </c>
      <c r="D123" t="s">
        <v>1170</v>
      </c>
    </row>
    <row r="124" spans="1:4" hidden="1" x14ac:dyDescent="0.3">
      <c r="A124" t="s">
        <v>497</v>
      </c>
      <c r="B124" t="s">
        <v>1259</v>
      </c>
      <c r="C124" t="s">
        <v>61</v>
      </c>
      <c r="D124" t="s">
        <v>1171</v>
      </c>
    </row>
    <row r="125" spans="1:4" hidden="1" x14ac:dyDescent="0.3">
      <c r="A125" t="s">
        <v>497</v>
      </c>
      <c r="B125" t="s">
        <v>1259</v>
      </c>
      <c r="C125" t="s">
        <v>61</v>
      </c>
      <c r="D125" t="s">
        <v>1172</v>
      </c>
    </row>
    <row r="126" spans="1:4" hidden="1" x14ac:dyDescent="0.3">
      <c r="A126" t="s">
        <v>497</v>
      </c>
      <c r="B126" t="s">
        <v>1259</v>
      </c>
      <c r="C126" t="s">
        <v>61</v>
      </c>
      <c r="D126" t="s">
        <v>1173</v>
      </c>
    </row>
    <row r="127" spans="1:4" hidden="1" x14ac:dyDescent="0.3">
      <c r="A127" t="s">
        <v>497</v>
      </c>
      <c r="B127" t="s">
        <v>1259</v>
      </c>
      <c r="C127" t="s">
        <v>61</v>
      </c>
      <c r="D127" t="s">
        <v>1174</v>
      </c>
    </row>
    <row r="128" spans="1:4" hidden="1" x14ac:dyDescent="0.3">
      <c r="A128" t="s">
        <v>497</v>
      </c>
      <c r="B128" t="s">
        <v>1259</v>
      </c>
      <c r="C128" t="s">
        <v>61</v>
      </c>
      <c r="D128" t="s">
        <v>1175</v>
      </c>
    </row>
    <row r="129" spans="1:4" hidden="1" x14ac:dyDescent="0.3">
      <c r="A129" t="s">
        <v>497</v>
      </c>
      <c r="B129" t="s">
        <v>1259</v>
      </c>
      <c r="C129" t="s">
        <v>61</v>
      </c>
      <c r="D129" t="s">
        <v>1176</v>
      </c>
    </row>
    <row r="130" spans="1:4" hidden="1" x14ac:dyDescent="0.3">
      <c r="A130" t="s">
        <v>497</v>
      </c>
      <c r="B130" t="s">
        <v>1259</v>
      </c>
      <c r="C130" t="s">
        <v>61</v>
      </c>
      <c r="D130" t="s">
        <v>1177</v>
      </c>
    </row>
    <row r="131" spans="1:4" hidden="1" x14ac:dyDescent="0.3">
      <c r="A131" t="s">
        <v>497</v>
      </c>
      <c r="B131" t="s">
        <v>1259</v>
      </c>
      <c r="C131" t="s">
        <v>61</v>
      </c>
      <c r="D131" t="s">
        <v>1178</v>
      </c>
    </row>
    <row r="132" spans="1:4" hidden="1" x14ac:dyDescent="0.3">
      <c r="A132" t="s">
        <v>497</v>
      </c>
      <c r="B132" t="s">
        <v>1259</v>
      </c>
      <c r="C132" t="s">
        <v>61</v>
      </c>
      <c r="D132" t="s">
        <v>1179</v>
      </c>
    </row>
    <row r="133" spans="1:4" hidden="1" x14ac:dyDescent="0.3">
      <c r="A133" t="s">
        <v>497</v>
      </c>
      <c r="B133" t="s">
        <v>1259</v>
      </c>
      <c r="C133" t="s">
        <v>61</v>
      </c>
      <c r="D133" t="s">
        <v>1180</v>
      </c>
    </row>
    <row r="134" spans="1:4" hidden="1" x14ac:dyDescent="0.3">
      <c r="A134" t="s">
        <v>497</v>
      </c>
      <c r="B134" t="s">
        <v>1259</v>
      </c>
      <c r="C134" t="s">
        <v>61</v>
      </c>
      <c r="D134" t="s">
        <v>1181</v>
      </c>
    </row>
    <row r="135" spans="1:4" hidden="1" x14ac:dyDescent="0.3">
      <c r="A135" t="s">
        <v>497</v>
      </c>
      <c r="B135" t="s">
        <v>1260</v>
      </c>
      <c r="C135" t="s">
        <v>61</v>
      </c>
      <c r="D135" t="s">
        <v>1170</v>
      </c>
    </row>
    <row r="136" spans="1:4" hidden="1" x14ac:dyDescent="0.3">
      <c r="A136" t="s">
        <v>497</v>
      </c>
      <c r="B136" t="s">
        <v>1260</v>
      </c>
      <c r="C136" t="s">
        <v>61</v>
      </c>
      <c r="D136" t="s">
        <v>1171</v>
      </c>
    </row>
    <row r="137" spans="1:4" hidden="1" x14ac:dyDescent="0.3">
      <c r="A137" t="s">
        <v>497</v>
      </c>
      <c r="B137" t="s">
        <v>1260</v>
      </c>
      <c r="C137" t="s">
        <v>61</v>
      </c>
      <c r="D137" t="s">
        <v>1172</v>
      </c>
    </row>
    <row r="138" spans="1:4" hidden="1" x14ac:dyDescent="0.3">
      <c r="A138" t="s">
        <v>497</v>
      </c>
      <c r="B138" t="s">
        <v>1260</v>
      </c>
      <c r="C138" t="s">
        <v>61</v>
      </c>
      <c r="D138" t="s">
        <v>1173</v>
      </c>
    </row>
    <row r="139" spans="1:4" hidden="1" x14ac:dyDescent="0.3">
      <c r="A139" t="s">
        <v>497</v>
      </c>
      <c r="B139" t="s">
        <v>1260</v>
      </c>
      <c r="C139" t="s">
        <v>61</v>
      </c>
      <c r="D139" t="s">
        <v>1174</v>
      </c>
    </row>
    <row r="140" spans="1:4" hidden="1" x14ac:dyDescent="0.3">
      <c r="A140" t="s">
        <v>497</v>
      </c>
      <c r="B140" t="s">
        <v>1260</v>
      </c>
      <c r="C140" t="s">
        <v>61</v>
      </c>
      <c r="D140" t="s">
        <v>1175</v>
      </c>
    </row>
    <row r="141" spans="1:4" hidden="1" x14ac:dyDescent="0.3">
      <c r="A141" t="s">
        <v>497</v>
      </c>
      <c r="B141" t="s">
        <v>1260</v>
      </c>
      <c r="C141" t="s">
        <v>61</v>
      </c>
      <c r="D141" t="s">
        <v>1176</v>
      </c>
    </row>
    <row r="142" spans="1:4" hidden="1" x14ac:dyDescent="0.3">
      <c r="A142" t="s">
        <v>497</v>
      </c>
      <c r="B142" t="s">
        <v>1260</v>
      </c>
      <c r="C142" t="s">
        <v>61</v>
      </c>
      <c r="D142" t="s">
        <v>1177</v>
      </c>
    </row>
    <row r="143" spans="1:4" hidden="1" x14ac:dyDescent="0.3">
      <c r="A143" t="s">
        <v>497</v>
      </c>
      <c r="B143" t="s">
        <v>1260</v>
      </c>
      <c r="C143" t="s">
        <v>61</v>
      </c>
      <c r="D143" t="s">
        <v>1178</v>
      </c>
    </row>
    <row r="144" spans="1:4" hidden="1" x14ac:dyDescent="0.3">
      <c r="A144" t="s">
        <v>497</v>
      </c>
      <c r="B144" t="s">
        <v>1260</v>
      </c>
      <c r="C144" t="s">
        <v>61</v>
      </c>
      <c r="D144" t="s">
        <v>1179</v>
      </c>
    </row>
    <row r="145" spans="1:4" hidden="1" x14ac:dyDescent="0.3">
      <c r="A145" t="s">
        <v>497</v>
      </c>
      <c r="B145" t="s">
        <v>1260</v>
      </c>
      <c r="C145" t="s">
        <v>61</v>
      </c>
      <c r="D145" t="s">
        <v>1180</v>
      </c>
    </row>
    <row r="146" spans="1:4" hidden="1" x14ac:dyDescent="0.3">
      <c r="A146" t="s">
        <v>497</v>
      </c>
      <c r="B146" t="s">
        <v>1260</v>
      </c>
      <c r="C146" t="s">
        <v>61</v>
      </c>
      <c r="D146" t="s">
        <v>1181</v>
      </c>
    </row>
    <row r="147" spans="1:4" hidden="1" x14ac:dyDescent="0.3">
      <c r="A147" t="s">
        <v>497</v>
      </c>
      <c r="B147" t="s">
        <v>1261</v>
      </c>
      <c r="C147" t="s">
        <v>61</v>
      </c>
      <c r="D147" t="s">
        <v>1170</v>
      </c>
    </row>
    <row r="148" spans="1:4" hidden="1" x14ac:dyDescent="0.3">
      <c r="A148" t="s">
        <v>497</v>
      </c>
      <c r="B148" t="s">
        <v>1261</v>
      </c>
      <c r="C148" t="s">
        <v>61</v>
      </c>
      <c r="D148" t="s">
        <v>1171</v>
      </c>
    </row>
    <row r="149" spans="1:4" hidden="1" x14ac:dyDescent="0.3">
      <c r="A149" t="s">
        <v>497</v>
      </c>
      <c r="B149" t="s">
        <v>1261</v>
      </c>
      <c r="C149" t="s">
        <v>61</v>
      </c>
      <c r="D149" t="s">
        <v>1172</v>
      </c>
    </row>
    <row r="150" spans="1:4" hidden="1" x14ac:dyDescent="0.3">
      <c r="A150" t="s">
        <v>497</v>
      </c>
      <c r="B150" t="s">
        <v>1261</v>
      </c>
      <c r="C150" t="s">
        <v>61</v>
      </c>
      <c r="D150" t="s">
        <v>1173</v>
      </c>
    </row>
    <row r="151" spans="1:4" hidden="1" x14ac:dyDescent="0.3">
      <c r="A151" t="s">
        <v>497</v>
      </c>
      <c r="B151" t="s">
        <v>1261</v>
      </c>
      <c r="C151" t="s">
        <v>61</v>
      </c>
      <c r="D151" t="s">
        <v>1174</v>
      </c>
    </row>
    <row r="152" spans="1:4" hidden="1" x14ac:dyDescent="0.3">
      <c r="A152" t="s">
        <v>497</v>
      </c>
      <c r="B152" t="s">
        <v>1261</v>
      </c>
      <c r="C152" t="s">
        <v>61</v>
      </c>
      <c r="D152" t="s">
        <v>1175</v>
      </c>
    </row>
    <row r="153" spans="1:4" hidden="1" x14ac:dyDescent="0.3">
      <c r="A153" t="s">
        <v>497</v>
      </c>
      <c r="B153" t="s">
        <v>1261</v>
      </c>
      <c r="C153" t="s">
        <v>61</v>
      </c>
      <c r="D153" t="s">
        <v>1176</v>
      </c>
    </row>
    <row r="154" spans="1:4" hidden="1" x14ac:dyDescent="0.3">
      <c r="A154" t="s">
        <v>497</v>
      </c>
      <c r="B154" t="s">
        <v>1261</v>
      </c>
      <c r="C154" t="s">
        <v>61</v>
      </c>
      <c r="D154" t="s">
        <v>1177</v>
      </c>
    </row>
    <row r="155" spans="1:4" hidden="1" x14ac:dyDescent="0.3">
      <c r="A155" t="s">
        <v>497</v>
      </c>
      <c r="B155" t="s">
        <v>1261</v>
      </c>
      <c r="C155" t="s">
        <v>61</v>
      </c>
      <c r="D155" t="s">
        <v>1178</v>
      </c>
    </row>
    <row r="156" spans="1:4" hidden="1" x14ac:dyDescent="0.3">
      <c r="A156" t="s">
        <v>497</v>
      </c>
      <c r="B156" t="s">
        <v>1261</v>
      </c>
      <c r="C156" t="s">
        <v>61</v>
      </c>
      <c r="D156" t="s">
        <v>1179</v>
      </c>
    </row>
    <row r="157" spans="1:4" hidden="1" x14ac:dyDescent="0.3">
      <c r="A157" t="s">
        <v>497</v>
      </c>
      <c r="B157" t="s">
        <v>1261</v>
      </c>
      <c r="C157" t="s">
        <v>61</v>
      </c>
      <c r="D157" t="s">
        <v>1180</v>
      </c>
    </row>
    <row r="158" spans="1:4" hidden="1" x14ac:dyDescent="0.3">
      <c r="A158" t="s">
        <v>497</v>
      </c>
      <c r="B158" t="s">
        <v>1261</v>
      </c>
      <c r="C158" t="s">
        <v>61</v>
      </c>
      <c r="D158" t="s">
        <v>1181</v>
      </c>
    </row>
    <row r="159" spans="1:4" hidden="1" x14ac:dyDescent="0.3">
      <c r="A159" t="s">
        <v>499</v>
      </c>
      <c r="B159" t="s">
        <v>1262</v>
      </c>
      <c r="C159" t="s">
        <v>1169</v>
      </c>
      <c r="D159" t="s">
        <v>1170</v>
      </c>
    </row>
    <row r="160" spans="1:4" hidden="1" x14ac:dyDescent="0.3">
      <c r="A160" t="s">
        <v>499</v>
      </c>
      <c r="B160" t="s">
        <v>1262</v>
      </c>
      <c r="C160" t="s">
        <v>1169</v>
      </c>
      <c r="D160" t="s">
        <v>1171</v>
      </c>
    </row>
    <row r="161" spans="1:4" hidden="1" x14ac:dyDescent="0.3">
      <c r="A161" t="s">
        <v>499</v>
      </c>
      <c r="B161" t="s">
        <v>1262</v>
      </c>
      <c r="C161" t="s">
        <v>1169</v>
      </c>
      <c r="D161" t="s">
        <v>1172</v>
      </c>
    </row>
    <row r="162" spans="1:4" hidden="1" x14ac:dyDescent="0.3">
      <c r="A162" t="s">
        <v>499</v>
      </c>
      <c r="B162" t="s">
        <v>1262</v>
      </c>
      <c r="C162" t="s">
        <v>1169</v>
      </c>
      <c r="D162" t="s">
        <v>1173</v>
      </c>
    </row>
    <row r="163" spans="1:4" hidden="1" x14ac:dyDescent="0.3">
      <c r="A163" t="s">
        <v>499</v>
      </c>
      <c r="B163" t="s">
        <v>1262</v>
      </c>
      <c r="C163" t="s">
        <v>1169</v>
      </c>
      <c r="D163" t="s">
        <v>1174</v>
      </c>
    </row>
    <row r="164" spans="1:4" hidden="1" x14ac:dyDescent="0.3">
      <c r="A164" t="s">
        <v>499</v>
      </c>
      <c r="B164" t="s">
        <v>1262</v>
      </c>
      <c r="C164" t="s">
        <v>1169</v>
      </c>
      <c r="D164" t="s">
        <v>1175</v>
      </c>
    </row>
    <row r="165" spans="1:4" hidden="1" x14ac:dyDescent="0.3">
      <c r="A165" t="s">
        <v>499</v>
      </c>
      <c r="B165" t="s">
        <v>1262</v>
      </c>
      <c r="C165" t="s">
        <v>1169</v>
      </c>
      <c r="D165" t="s">
        <v>1176</v>
      </c>
    </row>
    <row r="166" spans="1:4" hidden="1" x14ac:dyDescent="0.3">
      <c r="A166" t="s">
        <v>499</v>
      </c>
      <c r="B166" t="s">
        <v>1262</v>
      </c>
      <c r="C166" t="s">
        <v>1169</v>
      </c>
      <c r="D166" t="s">
        <v>1177</v>
      </c>
    </row>
    <row r="167" spans="1:4" hidden="1" x14ac:dyDescent="0.3">
      <c r="A167" t="s">
        <v>499</v>
      </c>
      <c r="B167" t="s">
        <v>1262</v>
      </c>
      <c r="C167" t="s">
        <v>1169</v>
      </c>
      <c r="D167" t="s">
        <v>1178</v>
      </c>
    </row>
    <row r="168" spans="1:4" hidden="1" x14ac:dyDescent="0.3">
      <c r="A168" t="s">
        <v>499</v>
      </c>
      <c r="B168" t="s">
        <v>1262</v>
      </c>
      <c r="C168" t="s">
        <v>1169</v>
      </c>
      <c r="D168" t="s">
        <v>1179</v>
      </c>
    </row>
    <row r="169" spans="1:4" hidden="1" x14ac:dyDescent="0.3">
      <c r="A169" t="s">
        <v>499</v>
      </c>
      <c r="B169" t="s">
        <v>1262</v>
      </c>
      <c r="C169" t="s">
        <v>1169</v>
      </c>
      <c r="D169" t="s">
        <v>1180</v>
      </c>
    </row>
    <row r="170" spans="1:4" hidden="1" x14ac:dyDescent="0.3">
      <c r="A170" t="s">
        <v>499</v>
      </c>
      <c r="B170" t="s">
        <v>1262</v>
      </c>
      <c r="C170" t="s">
        <v>1169</v>
      </c>
      <c r="D170" t="s">
        <v>1181</v>
      </c>
    </row>
    <row r="171" spans="1:4" hidden="1" x14ac:dyDescent="0.3">
      <c r="A171" t="s">
        <v>499</v>
      </c>
      <c r="B171" t="s">
        <v>1263</v>
      </c>
      <c r="C171" t="s">
        <v>1251</v>
      </c>
      <c r="D171" t="s">
        <v>1170</v>
      </c>
    </row>
    <row r="172" spans="1:4" hidden="1" x14ac:dyDescent="0.3">
      <c r="A172" t="s">
        <v>499</v>
      </c>
      <c r="B172" t="s">
        <v>1263</v>
      </c>
      <c r="C172" t="s">
        <v>1251</v>
      </c>
      <c r="D172" t="s">
        <v>1171</v>
      </c>
    </row>
    <row r="173" spans="1:4" hidden="1" x14ac:dyDescent="0.3">
      <c r="A173" t="s">
        <v>499</v>
      </c>
      <c r="B173" t="s">
        <v>1263</v>
      </c>
      <c r="C173" t="s">
        <v>1251</v>
      </c>
      <c r="D173" t="s">
        <v>1172</v>
      </c>
    </row>
    <row r="174" spans="1:4" hidden="1" x14ac:dyDescent="0.3">
      <c r="A174" t="s">
        <v>499</v>
      </c>
      <c r="B174" t="s">
        <v>1263</v>
      </c>
      <c r="C174" t="s">
        <v>1251</v>
      </c>
      <c r="D174" t="s">
        <v>1173</v>
      </c>
    </row>
    <row r="175" spans="1:4" hidden="1" x14ac:dyDescent="0.3">
      <c r="A175" t="s">
        <v>499</v>
      </c>
      <c r="B175" t="s">
        <v>1263</v>
      </c>
      <c r="C175" t="s">
        <v>1251</v>
      </c>
      <c r="D175" t="s">
        <v>1174</v>
      </c>
    </row>
    <row r="176" spans="1:4" hidden="1" x14ac:dyDescent="0.3">
      <c r="A176" t="s">
        <v>499</v>
      </c>
      <c r="B176" t="s">
        <v>1263</v>
      </c>
      <c r="C176" t="s">
        <v>1251</v>
      </c>
      <c r="D176" t="s">
        <v>1175</v>
      </c>
    </row>
    <row r="177" spans="1:7" hidden="1" x14ac:dyDescent="0.3">
      <c r="A177" t="s">
        <v>499</v>
      </c>
      <c r="B177" t="s">
        <v>1263</v>
      </c>
      <c r="C177" t="s">
        <v>1251</v>
      </c>
      <c r="D177" t="s">
        <v>1176</v>
      </c>
    </row>
    <row r="178" spans="1:7" hidden="1" x14ac:dyDescent="0.3">
      <c r="A178" t="s">
        <v>499</v>
      </c>
      <c r="B178" t="s">
        <v>1263</v>
      </c>
      <c r="C178" t="s">
        <v>1251</v>
      </c>
      <c r="D178" t="s">
        <v>1177</v>
      </c>
    </row>
    <row r="179" spans="1:7" hidden="1" x14ac:dyDescent="0.3">
      <c r="A179" t="s">
        <v>499</v>
      </c>
      <c r="B179" t="s">
        <v>1263</v>
      </c>
      <c r="C179" t="s">
        <v>1251</v>
      </c>
      <c r="D179" t="s">
        <v>1178</v>
      </c>
    </row>
    <row r="180" spans="1:7" hidden="1" x14ac:dyDescent="0.3">
      <c r="A180" t="s">
        <v>499</v>
      </c>
      <c r="B180" t="s">
        <v>1263</v>
      </c>
      <c r="C180" t="s">
        <v>1251</v>
      </c>
      <c r="D180" t="s">
        <v>1179</v>
      </c>
    </row>
    <row r="181" spans="1:7" hidden="1" x14ac:dyDescent="0.3">
      <c r="A181" t="s">
        <v>499</v>
      </c>
      <c r="B181" t="s">
        <v>1263</v>
      </c>
      <c r="C181" t="s">
        <v>1251</v>
      </c>
      <c r="D181" t="s">
        <v>1180</v>
      </c>
    </row>
    <row r="182" spans="1:7" hidden="1" x14ac:dyDescent="0.3">
      <c r="A182" t="s">
        <v>499</v>
      </c>
      <c r="B182" t="s">
        <v>1263</v>
      </c>
      <c r="C182" t="s">
        <v>1251</v>
      </c>
      <c r="D182" t="s">
        <v>1181</v>
      </c>
    </row>
    <row r="183" spans="1:7" x14ac:dyDescent="0.3">
      <c r="A183" t="s">
        <v>499</v>
      </c>
      <c r="B183" t="s">
        <v>1264</v>
      </c>
      <c r="C183" t="s">
        <v>54</v>
      </c>
      <c r="D183" t="s">
        <v>1174</v>
      </c>
      <c r="E183" s="377">
        <v>276.10000000000008</v>
      </c>
      <c r="F183" s="377">
        <v>276.10000000000008</v>
      </c>
      <c r="G183" s="377">
        <v>0</v>
      </c>
    </row>
    <row r="184" spans="1:7" x14ac:dyDescent="0.3">
      <c r="A184" t="s">
        <v>499</v>
      </c>
      <c r="B184" t="s">
        <v>1264</v>
      </c>
      <c r="C184" t="s">
        <v>54</v>
      </c>
      <c r="D184" t="s">
        <v>1175</v>
      </c>
      <c r="E184" s="377">
        <v>295.49999999999949</v>
      </c>
      <c r="F184" s="377">
        <v>295.49999999999949</v>
      </c>
      <c r="G184" s="377">
        <v>0</v>
      </c>
    </row>
    <row r="185" spans="1:7" x14ac:dyDescent="0.3">
      <c r="A185" t="s">
        <v>499</v>
      </c>
      <c r="B185" t="s">
        <v>1264</v>
      </c>
      <c r="C185" t="s">
        <v>54</v>
      </c>
      <c r="D185" t="s">
        <v>1176</v>
      </c>
      <c r="E185" s="377">
        <v>264.80000000000018</v>
      </c>
      <c r="F185" s="377">
        <v>264.80000000000018</v>
      </c>
      <c r="G185" s="377">
        <v>0</v>
      </c>
    </row>
    <row r="186" spans="1:7" x14ac:dyDescent="0.3">
      <c r="A186" t="s">
        <v>499</v>
      </c>
      <c r="B186" t="s">
        <v>1264</v>
      </c>
      <c r="C186" t="s">
        <v>54</v>
      </c>
      <c r="D186" t="s">
        <v>1177</v>
      </c>
      <c r="E186" s="377">
        <v>194.90000000000111</v>
      </c>
      <c r="F186" s="377">
        <v>194.90000000000111</v>
      </c>
      <c r="G186" s="377">
        <v>0</v>
      </c>
    </row>
    <row r="187" spans="1:7" x14ac:dyDescent="0.3">
      <c r="A187" t="s">
        <v>499</v>
      </c>
      <c r="B187" t="s">
        <v>1264</v>
      </c>
      <c r="C187" t="s">
        <v>54</v>
      </c>
      <c r="D187" t="s">
        <v>1178</v>
      </c>
      <c r="E187" s="377">
        <v>250.2</v>
      </c>
      <c r="F187" s="377">
        <v>250.2</v>
      </c>
      <c r="G187" s="377">
        <v>0</v>
      </c>
    </row>
    <row r="188" spans="1:7" x14ac:dyDescent="0.3">
      <c r="A188" t="s">
        <v>499</v>
      </c>
      <c r="B188" t="s">
        <v>1264</v>
      </c>
      <c r="C188" t="s">
        <v>54</v>
      </c>
      <c r="D188" t="s">
        <v>1179</v>
      </c>
      <c r="E188" s="377">
        <v>253.2</v>
      </c>
      <c r="F188" s="377">
        <v>253.2</v>
      </c>
      <c r="G188" s="377">
        <v>0</v>
      </c>
    </row>
    <row r="189" spans="1:7" x14ac:dyDescent="0.3">
      <c r="A189" t="s">
        <v>499</v>
      </c>
      <c r="B189" t="s">
        <v>1264</v>
      </c>
      <c r="C189" t="s">
        <v>54</v>
      </c>
      <c r="D189" t="s">
        <v>1180</v>
      </c>
      <c r="E189" s="377">
        <v>253.2</v>
      </c>
      <c r="F189" s="377">
        <v>253.2</v>
      </c>
      <c r="G189" s="377">
        <v>0</v>
      </c>
    </row>
    <row r="190" spans="1:7" x14ac:dyDescent="0.3">
      <c r="A190" t="s">
        <v>499</v>
      </c>
      <c r="B190" t="s">
        <v>1264</v>
      </c>
      <c r="C190" t="s">
        <v>54</v>
      </c>
      <c r="D190" t="s">
        <v>1181</v>
      </c>
      <c r="E190" s="377">
        <v>207.7</v>
      </c>
      <c r="F190" s="377">
        <v>207.7</v>
      </c>
      <c r="G190" s="377">
        <v>0</v>
      </c>
    </row>
    <row r="191" spans="1:7" hidden="1" x14ac:dyDescent="0.3">
      <c r="A191" t="s">
        <v>499</v>
      </c>
      <c r="B191" t="s">
        <v>1265</v>
      </c>
      <c r="C191" t="s">
        <v>1169</v>
      </c>
      <c r="D191" t="s">
        <v>1170</v>
      </c>
    </row>
    <row r="192" spans="1:7" hidden="1" x14ac:dyDescent="0.3">
      <c r="A192" t="s">
        <v>499</v>
      </c>
      <c r="B192" t="s">
        <v>1265</v>
      </c>
      <c r="C192" t="s">
        <v>1169</v>
      </c>
      <c r="D192" t="s">
        <v>1171</v>
      </c>
    </row>
    <row r="193" spans="1:4" hidden="1" x14ac:dyDescent="0.3">
      <c r="A193" t="s">
        <v>499</v>
      </c>
      <c r="B193" t="s">
        <v>1265</v>
      </c>
      <c r="C193" t="s">
        <v>1169</v>
      </c>
      <c r="D193" t="s">
        <v>1172</v>
      </c>
    </row>
    <row r="194" spans="1:4" hidden="1" x14ac:dyDescent="0.3">
      <c r="A194" t="s">
        <v>499</v>
      </c>
      <c r="B194" t="s">
        <v>1265</v>
      </c>
      <c r="C194" t="s">
        <v>1169</v>
      </c>
      <c r="D194" t="s">
        <v>1173</v>
      </c>
    </row>
    <row r="195" spans="1:4" hidden="1" x14ac:dyDescent="0.3">
      <c r="A195" t="s">
        <v>499</v>
      </c>
      <c r="B195" t="s">
        <v>1265</v>
      </c>
      <c r="C195" t="s">
        <v>1169</v>
      </c>
      <c r="D195" t="s">
        <v>1174</v>
      </c>
    </row>
    <row r="196" spans="1:4" hidden="1" x14ac:dyDescent="0.3">
      <c r="A196" t="s">
        <v>499</v>
      </c>
      <c r="B196" t="s">
        <v>1265</v>
      </c>
      <c r="C196" t="s">
        <v>1169</v>
      </c>
      <c r="D196" t="s">
        <v>1175</v>
      </c>
    </row>
    <row r="197" spans="1:4" hidden="1" x14ac:dyDescent="0.3">
      <c r="A197" t="s">
        <v>499</v>
      </c>
      <c r="B197" t="s">
        <v>1265</v>
      </c>
      <c r="C197" t="s">
        <v>1169</v>
      </c>
      <c r="D197" t="s">
        <v>1176</v>
      </c>
    </row>
    <row r="198" spans="1:4" hidden="1" x14ac:dyDescent="0.3">
      <c r="A198" t="s">
        <v>499</v>
      </c>
      <c r="B198" t="s">
        <v>1265</v>
      </c>
      <c r="C198" t="s">
        <v>1169</v>
      </c>
      <c r="D198" t="s">
        <v>1177</v>
      </c>
    </row>
    <row r="199" spans="1:4" hidden="1" x14ac:dyDescent="0.3">
      <c r="A199" t="s">
        <v>499</v>
      </c>
      <c r="B199" t="s">
        <v>1265</v>
      </c>
      <c r="C199" t="s">
        <v>1169</v>
      </c>
      <c r="D199" t="s">
        <v>1178</v>
      </c>
    </row>
    <row r="200" spans="1:4" hidden="1" x14ac:dyDescent="0.3">
      <c r="A200" t="s">
        <v>499</v>
      </c>
      <c r="B200" t="s">
        <v>1265</v>
      </c>
      <c r="C200" t="s">
        <v>1169</v>
      </c>
      <c r="D200" t="s">
        <v>1179</v>
      </c>
    </row>
    <row r="201" spans="1:4" hidden="1" x14ac:dyDescent="0.3">
      <c r="A201" t="s">
        <v>499</v>
      </c>
      <c r="B201" t="s">
        <v>1266</v>
      </c>
      <c r="C201" t="s">
        <v>1169</v>
      </c>
      <c r="D201" t="s">
        <v>1170</v>
      </c>
    </row>
    <row r="202" spans="1:4" hidden="1" x14ac:dyDescent="0.3">
      <c r="A202" t="s">
        <v>499</v>
      </c>
      <c r="B202" t="s">
        <v>1266</v>
      </c>
      <c r="C202" t="s">
        <v>1169</v>
      </c>
      <c r="D202" t="s">
        <v>1171</v>
      </c>
    </row>
    <row r="203" spans="1:4" hidden="1" x14ac:dyDescent="0.3">
      <c r="A203" t="s">
        <v>499</v>
      </c>
      <c r="B203" t="s">
        <v>1266</v>
      </c>
      <c r="C203" t="s">
        <v>1169</v>
      </c>
      <c r="D203" t="s">
        <v>1172</v>
      </c>
    </row>
    <row r="204" spans="1:4" hidden="1" x14ac:dyDescent="0.3">
      <c r="A204" t="s">
        <v>499</v>
      </c>
      <c r="B204" t="s">
        <v>1266</v>
      </c>
      <c r="C204" t="s">
        <v>1169</v>
      </c>
      <c r="D204" t="s">
        <v>1173</v>
      </c>
    </row>
    <row r="205" spans="1:4" hidden="1" x14ac:dyDescent="0.3">
      <c r="A205" t="s">
        <v>499</v>
      </c>
      <c r="B205" t="s">
        <v>1266</v>
      </c>
      <c r="C205" t="s">
        <v>1169</v>
      </c>
      <c r="D205" t="s">
        <v>1174</v>
      </c>
    </row>
    <row r="206" spans="1:4" hidden="1" x14ac:dyDescent="0.3">
      <c r="A206" t="s">
        <v>499</v>
      </c>
      <c r="B206" t="s">
        <v>1266</v>
      </c>
      <c r="C206" t="s">
        <v>1169</v>
      </c>
      <c r="D206" t="s">
        <v>1175</v>
      </c>
    </row>
    <row r="207" spans="1:4" hidden="1" x14ac:dyDescent="0.3">
      <c r="A207" t="s">
        <v>499</v>
      </c>
      <c r="B207" t="s">
        <v>1266</v>
      </c>
      <c r="C207" t="s">
        <v>1169</v>
      </c>
      <c r="D207" t="s">
        <v>1176</v>
      </c>
    </row>
    <row r="208" spans="1:4" hidden="1" x14ac:dyDescent="0.3">
      <c r="A208" t="s">
        <v>499</v>
      </c>
      <c r="B208" t="s">
        <v>1266</v>
      </c>
      <c r="C208" t="s">
        <v>1169</v>
      </c>
      <c r="D208" t="s">
        <v>1177</v>
      </c>
    </row>
    <row r="209" spans="1:4" hidden="1" x14ac:dyDescent="0.3">
      <c r="A209" t="s">
        <v>499</v>
      </c>
      <c r="B209" t="s">
        <v>1266</v>
      </c>
      <c r="C209" t="s">
        <v>1169</v>
      </c>
      <c r="D209" t="s">
        <v>1178</v>
      </c>
    </row>
    <row r="210" spans="1:4" hidden="1" x14ac:dyDescent="0.3">
      <c r="A210" t="s">
        <v>499</v>
      </c>
      <c r="B210" t="s">
        <v>1266</v>
      </c>
      <c r="C210" t="s">
        <v>1169</v>
      </c>
      <c r="D210" t="s">
        <v>1179</v>
      </c>
    </row>
    <row r="211" spans="1:4" hidden="1" x14ac:dyDescent="0.3">
      <c r="A211" t="s">
        <v>499</v>
      </c>
      <c r="B211" t="s">
        <v>1266</v>
      </c>
      <c r="C211" t="s">
        <v>1169</v>
      </c>
      <c r="D211" t="s">
        <v>1180</v>
      </c>
    </row>
    <row r="212" spans="1:4" hidden="1" x14ac:dyDescent="0.3">
      <c r="A212" t="s">
        <v>499</v>
      </c>
      <c r="B212" t="s">
        <v>1266</v>
      </c>
      <c r="C212" t="s">
        <v>1169</v>
      </c>
      <c r="D212" t="s">
        <v>1181</v>
      </c>
    </row>
    <row r="213" spans="1:4" hidden="1" x14ac:dyDescent="0.3">
      <c r="A213" t="s">
        <v>499</v>
      </c>
      <c r="B213" t="s">
        <v>1267</v>
      </c>
      <c r="C213" t="s">
        <v>1169</v>
      </c>
      <c r="D213" t="s">
        <v>1170</v>
      </c>
    </row>
    <row r="214" spans="1:4" hidden="1" x14ac:dyDescent="0.3">
      <c r="A214" t="s">
        <v>499</v>
      </c>
      <c r="B214" t="s">
        <v>1267</v>
      </c>
      <c r="C214" t="s">
        <v>1169</v>
      </c>
      <c r="D214" t="s">
        <v>1171</v>
      </c>
    </row>
    <row r="215" spans="1:4" hidden="1" x14ac:dyDescent="0.3">
      <c r="A215" t="s">
        <v>499</v>
      </c>
      <c r="B215" t="s">
        <v>1267</v>
      </c>
      <c r="C215" t="s">
        <v>1169</v>
      </c>
      <c r="D215" t="s">
        <v>1172</v>
      </c>
    </row>
    <row r="216" spans="1:4" hidden="1" x14ac:dyDescent="0.3">
      <c r="A216" t="s">
        <v>499</v>
      </c>
      <c r="B216" t="s">
        <v>1267</v>
      </c>
      <c r="C216" t="s">
        <v>1169</v>
      </c>
      <c r="D216" t="s">
        <v>1173</v>
      </c>
    </row>
    <row r="217" spans="1:4" hidden="1" x14ac:dyDescent="0.3">
      <c r="A217" t="s">
        <v>499</v>
      </c>
      <c r="B217" t="s">
        <v>1267</v>
      </c>
      <c r="C217" t="s">
        <v>1169</v>
      </c>
      <c r="D217" t="s">
        <v>1174</v>
      </c>
    </row>
    <row r="218" spans="1:4" hidden="1" x14ac:dyDescent="0.3">
      <c r="A218" t="s">
        <v>499</v>
      </c>
      <c r="B218" t="s">
        <v>1267</v>
      </c>
      <c r="C218" t="s">
        <v>1169</v>
      </c>
      <c r="D218" t="s">
        <v>1175</v>
      </c>
    </row>
    <row r="219" spans="1:4" hidden="1" x14ac:dyDescent="0.3">
      <c r="A219" t="s">
        <v>499</v>
      </c>
      <c r="B219" t="s">
        <v>1267</v>
      </c>
      <c r="C219" t="s">
        <v>1169</v>
      </c>
      <c r="D219" t="s">
        <v>1176</v>
      </c>
    </row>
    <row r="220" spans="1:4" hidden="1" x14ac:dyDescent="0.3">
      <c r="A220" t="s">
        <v>499</v>
      </c>
      <c r="B220" t="s">
        <v>1267</v>
      </c>
      <c r="C220" t="s">
        <v>1169</v>
      </c>
      <c r="D220" t="s">
        <v>1177</v>
      </c>
    </row>
    <row r="221" spans="1:4" hidden="1" x14ac:dyDescent="0.3">
      <c r="A221" t="s">
        <v>499</v>
      </c>
      <c r="B221" t="s">
        <v>1267</v>
      </c>
      <c r="C221" t="s">
        <v>1169</v>
      </c>
      <c r="D221" t="s">
        <v>1178</v>
      </c>
    </row>
    <row r="222" spans="1:4" hidden="1" x14ac:dyDescent="0.3">
      <c r="A222" t="s">
        <v>499</v>
      </c>
      <c r="B222" t="s">
        <v>1267</v>
      </c>
      <c r="C222" t="s">
        <v>1169</v>
      </c>
      <c r="D222" t="s">
        <v>1179</v>
      </c>
    </row>
    <row r="223" spans="1:4" hidden="1" x14ac:dyDescent="0.3">
      <c r="A223" t="s">
        <v>499</v>
      </c>
      <c r="B223" t="s">
        <v>1267</v>
      </c>
      <c r="C223" t="s">
        <v>1169</v>
      </c>
      <c r="D223" t="s">
        <v>1180</v>
      </c>
    </row>
    <row r="224" spans="1:4" hidden="1" x14ac:dyDescent="0.3">
      <c r="A224" t="s">
        <v>499</v>
      </c>
      <c r="B224" t="s">
        <v>1267</v>
      </c>
      <c r="C224" t="s">
        <v>1169</v>
      </c>
      <c r="D224" t="s">
        <v>1181</v>
      </c>
    </row>
    <row r="225" spans="1:4" hidden="1" x14ac:dyDescent="0.3">
      <c r="A225" t="s">
        <v>499</v>
      </c>
      <c r="B225" t="s">
        <v>1268</v>
      </c>
      <c r="C225" t="s">
        <v>1169</v>
      </c>
      <c r="D225" t="s">
        <v>1170</v>
      </c>
    </row>
    <row r="226" spans="1:4" hidden="1" x14ac:dyDescent="0.3">
      <c r="A226" t="s">
        <v>499</v>
      </c>
      <c r="B226" t="s">
        <v>1268</v>
      </c>
      <c r="C226" t="s">
        <v>1169</v>
      </c>
      <c r="D226" t="s">
        <v>1171</v>
      </c>
    </row>
    <row r="227" spans="1:4" hidden="1" x14ac:dyDescent="0.3">
      <c r="A227" t="s">
        <v>499</v>
      </c>
      <c r="B227" t="s">
        <v>1268</v>
      </c>
      <c r="C227" t="s">
        <v>1169</v>
      </c>
      <c r="D227" t="s">
        <v>1172</v>
      </c>
    </row>
    <row r="228" spans="1:4" hidden="1" x14ac:dyDescent="0.3">
      <c r="A228" t="s">
        <v>499</v>
      </c>
      <c r="B228" t="s">
        <v>1268</v>
      </c>
      <c r="C228" t="s">
        <v>1169</v>
      </c>
      <c r="D228" t="s">
        <v>1173</v>
      </c>
    </row>
    <row r="229" spans="1:4" hidden="1" x14ac:dyDescent="0.3">
      <c r="A229" t="s">
        <v>499</v>
      </c>
      <c r="B229" t="s">
        <v>1268</v>
      </c>
      <c r="C229" t="s">
        <v>1169</v>
      </c>
      <c r="D229" t="s">
        <v>1174</v>
      </c>
    </row>
    <row r="230" spans="1:4" hidden="1" x14ac:dyDescent="0.3">
      <c r="A230" t="s">
        <v>499</v>
      </c>
      <c r="B230" t="s">
        <v>1268</v>
      </c>
      <c r="C230" t="s">
        <v>1169</v>
      </c>
      <c r="D230" t="s">
        <v>1175</v>
      </c>
    </row>
    <row r="231" spans="1:4" hidden="1" x14ac:dyDescent="0.3">
      <c r="A231" t="s">
        <v>499</v>
      </c>
      <c r="B231" t="s">
        <v>1268</v>
      </c>
      <c r="C231" t="s">
        <v>1169</v>
      </c>
      <c r="D231" t="s">
        <v>1176</v>
      </c>
    </row>
    <row r="232" spans="1:4" hidden="1" x14ac:dyDescent="0.3">
      <c r="A232" t="s">
        <v>499</v>
      </c>
      <c r="B232" t="s">
        <v>1268</v>
      </c>
      <c r="C232" t="s">
        <v>1169</v>
      </c>
      <c r="D232" t="s">
        <v>1177</v>
      </c>
    </row>
    <row r="233" spans="1:4" hidden="1" x14ac:dyDescent="0.3">
      <c r="A233" t="s">
        <v>499</v>
      </c>
      <c r="B233" t="s">
        <v>1268</v>
      </c>
      <c r="C233" t="s">
        <v>1169</v>
      </c>
      <c r="D233" t="s">
        <v>1178</v>
      </c>
    </row>
    <row r="234" spans="1:4" hidden="1" x14ac:dyDescent="0.3">
      <c r="A234" t="s">
        <v>499</v>
      </c>
      <c r="B234" t="s">
        <v>1268</v>
      </c>
      <c r="C234" t="s">
        <v>1169</v>
      </c>
      <c r="D234" t="s">
        <v>1179</v>
      </c>
    </row>
    <row r="235" spans="1:4" hidden="1" x14ac:dyDescent="0.3">
      <c r="A235" t="s">
        <v>499</v>
      </c>
      <c r="B235" t="s">
        <v>1268</v>
      </c>
      <c r="C235" t="s">
        <v>1169</v>
      </c>
      <c r="D235" t="s">
        <v>1180</v>
      </c>
    </row>
    <row r="236" spans="1:4" hidden="1" x14ac:dyDescent="0.3">
      <c r="A236" t="s">
        <v>499</v>
      </c>
      <c r="B236" t="s">
        <v>1269</v>
      </c>
      <c r="C236" t="s">
        <v>1169</v>
      </c>
      <c r="D236" t="s">
        <v>1170</v>
      </c>
    </row>
    <row r="237" spans="1:4" hidden="1" x14ac:dyDescent="0.3">
      <c r="A237" t="s">
        <v>499</v>
      </c>
      <c r="B237" t="s">
        <v>1269</v>
      </c>
      <c r="C237" t="s">
        <v>1169</v>
      </c>
      <c r="D237" t="s">
        <v>1171</v>
      </c>
    </row>
    <row r="238" spans="1:4" hidden="1" x14ac:dyDescent="0.3">
      <c r="A238" t="s">
        <v>499</v>
      </c>
      <c r="B238" t="s">
        <v>1269</v>
      </c>
      <c r="C238" t="s">
        <v>1169</v>
      </c>
      <c r="D238" t="s">
        <v>1172</v>
      </c>
    </row>
    <row r="239" spans="1:4" hidden="1" x14ac:dyDescent="0.3">
      <c r="A239" t="s">
        <v>499</v>
      </c>
      <c r="B239" t="s">
        <v>1269</v>
      </c>
      <c r="C239" t="s">
        <v>1169</v>
      </c>
      <c r="D239" t="s">
        <v>1173</v>
      </c>
    </row>
    <row r="240" spans="1:4" hidden="1" x14ac:dyDescent="0.3">
      <c r="A240" t="s">
        <v>499</v>
      </c>
      <c r="B240" t="s">
        <v>1269</v>
      </c>
      <c r="C240" t="s">
        <v>1169</v>
      </c>
      <c r="D240" t="s">
        <v>1174</v>
      </c>
    </row>
    <row r="241" spans="1:4" hidden="1" x14ac:dyDescent="0.3">
      <c r="A241" t="s">
        <v>499</v>
      </c>
      <c r="B241" t="s">
        <v>1269</v>
      </c>
      <c r="C241" t="s">
        <v>1169</v>
      </c>
      <c r="D241" t="s">
        <v>1175</v>
      </c>
    </row>
    <row r="242" spans="1:4" hidden="1" x14ac:dyDescent="0.3">
      <c r="A242" t="s">
        <v>499</v>
      </c>
      <c r="B242" t="s">
        <v>1269</v>
      </c>
      <c r="C242" t="s">
        <v>1169</v>
      </c>
      <c r="D242" t="s">
        <v>1176</v>
      </c>
    </row>
    <row r="243" spans="1:4" hidden="1" x14ac:dyDescent="0.3">
      <c r="A243" t="s">
        <v>499</v>
      </c>
      <c r="B243" t="s">
        <v>1269</v>
      </c>
      <c r="C243" t="s">
        <v>1169</v>
      </c>
      <c r="D243" t="s">
        <v>1177</v>
      </c>
    </row>
    <row r="244" spans="1:4" hidden="1" x14ac:dyDescent="0.3">
      <c r="A244" t="s">
        <v>499</v>
      </c>
      <c r="B244" t="s">
        <v>1269</v>
      </c>
      <c r="C244" t="s">
        <v>1169</v>
      </c>
      <c r="D244" t="s">
        <v>1178</v>
      </c>
    </row>
    <row r="245" spans="1:4" hidden="1" x14ac:dyDescent="0.3">
      <c r="A245" t="s">
        <v>499</v>
      </c>
      <c r="B245" t="s">
        <v>1269</v>
      </c>
      <c r="C245" t="s">
        <v>1169</v>
      </c>
      <c r="D245" t="s">
        <v>1179</v>
      </c>
    </row>
    <row r="246" spans="1:4" hidden="1" x14ac:dyDescent="0.3">
      <c r="A246" t="s">
        <v>499</v>
      </c>
      <c r="B246" t="s">
        <v>1270</v>
      </c>
      <c r="C246" t="s">
        <v>1169</v>
      </c>
      <c r="D246" t="s">
        <v>1170</v>
      </c>
    </row>
    <row r="247" spans="1:4" hidden="1" x14ac:dyDescent="0.3">
      <c r="A247" t="s">
        <v>499</v>
      </c>
      <c r="B247" t="s">
        <v>1270</v>
      </c>
      <c r="C247" t="s">
        <v>1169</v>
      </c>
      <c r="D247" t="s">
        <v>1171</v>
      </c>
    </row>
    <row r="248" spans="1:4" hidden="1" x14ac:dyDescent="0.3">
      <c r="A248" t="s">
        <v>499</v>
      </c>
      <c r="B248" t="s">
        <v>1270</v>
      </c>
      <c r="C248" t="s">
        <v>1169</v>
      </c>
      <c r="D248" t="s">
        <v>1172</v>
      </c>
    </row>
    <row r="249" spans="1:4" hidden="1" x14ac:dyDescent="0.3">
      <c r="A249" t="s">
        <v>499</v>
      </c>
      <c r="B249" t="s">
        <v>1270</v>
      </c>
      <c r="C249" t="s">
        <v>1169</v>
      </c>
      <c r="D249" t="s">
        <v>1173</v>
      </c>
    </row>
    <row r="250" spans="1:4" hidden="1" x14ac:dyDescent="0.3">
      <c r="A250" t="s">
        <v>499</v>
      </c>
      <c r="B250" t="s">
        <v>1270</v>
      </c>
      <c r="C250" t="s">
        <v>1169</v>
      </c>
      <c r="D250" t="s">
        <v>1174</v>
      </c>
    </row>
    <row r="251" spans="1:4" hidden="1" x14ac:dyDescent="0.3">
      <c r="A251" t="s">
        <v>499</v>
      </c>
      <c r="B251" t="s">
        <v>1270</v>
      </c>
      <c r="C251" t="s">
        <v>1169</v>
      </c>
      <c r="D251" t="s">
        <v>1175</v>
      </c>
    </row>
    <row r="252" spans="1:4" hidden="1" x14ac:dyDescent="0.3">
      <c r="A252" t="s">
        <v>499</v>
      </c>
      <c r="B252" t="s">
        <v>1270</v>
      </c>
      <c r="C252" t="s">
        <v>1169</v>
      </c>
      <c r="D252" t="s">
        <v>1176</v>
      </c>
    </row>
    <row r="253" spans="1:4" hidden="1" x14ac:dyDescent="0.3">
      <c r="A253" t="s">
        <v>499</v>
      </c>
      <c r="B253" t="s">
        <v>1270</v>
      </c>
      <c r="C253" t="s">
        <v>1169</v>
      </c>
      <c r="D253" t="s">
        <v>1177</v>
      </c>
    </row>
    <row r="254" spans="1:4" hidden="1" x14ac:dyDescent="0.3">
      <c r="A254" t="s">
        <v>499</v>
      </c>
      <c r="B254" t="s">
        <v>1270</v>
      </c>
      <c r="C254" t="s">
        <v>1169</v>
      </c>
      <c r="D254" t="s">
        <v>1178</v>
      </c>
    </row>
    <row r="255" spans="1:4" hidden="1" x14ac:dyDescent="0.3">
      <c r="A255" t="s">
        <v>499</v>
      </c>
      <c r="B255" t="s">
        <v>1270</v>
      </c>
      <c r="C255" t="s">
        <v>1169</v>
      </c>
      <c r="D255" t="s">
        <v>1179</v>
      </c>
    </row>
    <row r="256" spans="1:4" hidden="1" x14ac:dyDescent="0.3">
      <c r="A256" t="s">
        <v>499</v>
      </c>
      <c r="B256" t="s">
        <v>1271</v>
      </c>
      <c r="C256" t="s">
        <v>61</v>
      </c>
      <c r="D256" t="s">
        <v>1170</v>
      </c>
    </row>
    <row r="257" spans="1:4" hidden="1" x14ac:dyDescent="0.3">
      <c r="A257" t="s">
        <v>499</v>
      </c>
      <c r="B257" t="s">
        <v>1271</v>
      </c>
      <c r="C257" t="s">
        <v>61</v>
      </c>
      <c r="D257" t="s">
        <v>1171</v>
      </c>
    </row>
    <row r="258" spans="1:4" hidden="1" x14ac:dyDescent="0.3">
      <c r="A258" t="s">
        <v>499</v>
      </c>
      <c r="B258" t="s">
        <v>1271</v>
      </c>
      <c r="C258" t="s">
        <v>61</v>
      </c>
      <c r="D258" t="s">
        <v>1172</v>
      </c>
    </row>
    <row r="259" spans="1:4" hidden="1" x14ac:dyDescent="0.3">
      <c r="A259" t="s">
        <v>499</v>
      </c>
      <c r="B259" t="s">
        <v>1271</v>
      </c>
      <c r="C259" t="s">
        <v>61</v>
      </c>
      <c r="D259" t="s">
        <v>1173</v>
      </c>
    </row>
    <row r="260" spans="1:4" hidden="1" x14ac:dyDescent="0.3">
      <c r="A260" t="s">
        <v>499</v>
      </c>
      <c r="B260" t="s">
        <v>1271</v>
      </c>
      <c r="C260" t="s">
        <v>61</v>
      </c>
      <c r="D260" t="s">
        <v>1174</v>
      </c>
    </row>
    <row r="261" spans="1:4" hidden="1" x14ac:dyDescent="0.3">
      <c r="A261" t="s">
        <v>499</v>
      </c>
      <c r="B261" t="s">
        <v>1271</v>
      </c>
      <c r="C261" t="s">
        <v>61</v>
      </c>
      <c r="D261" t="s">
        <v>1175</v>
      </c>
    </row>
    <row r="262" spans="1:4" hidden="1" x14ac:dyDescent="0.3">
      <c r="A262" t="s">
        <v>499</v>
      </c>
      <c r="B262" t="s">
        <v>1271</v>
      </c>
      <c r="C262" t="s">
        <v>61</v>
      </c>
      <c r="D262" t="s">
        <v>1176</v>
      </c>
    </row>
    <row r="263" spans="1:4" hidden="1" x14ac:dyDescent="0.3">
      <c r="A263" t="s">
        <v>499</v>
      </c>
      <c r="B263" t="s">
        <v>1271</v>
      </c>
      <c r="C263" t="s">
        <v>61</v>
      </c>
      <c r="D263" t="s">
        <v>1177</v>
      </c>
    </row>
    <row r="264" spans="1:4" hidden="1" x14ac:dyDescent="0.3">
      <c r="A264" t="s">
        <v>499</v>
      </c>
      <c r="B264" t="s">
        <v>1271</v>
      </c>
      <c r="C264" t="s">
        <v>61</v>
      </c>
      <c r="D264" t="s">
        <v>1178</v>
      </c>
    </row>
    <row r="265" spans="1:4" hidden="1" x14ac:dyDescent="0.3">
      <c r="A265" t="s">
        <v>499</v>
      </c>
      <c r="B265" t="s">
        <v>1271</v>
      </c>
      <c r="C265" t="s">
        <v>61</v>
      </c>
      <c r="D265" t="s">
        <v>1179</v>
      </c>
    </row>
    <row r="266" spans="1:4" hidden="1" x14ac:dyDescent="0.3">
      <c r="A266" t="s">
        <v>499</v>
      </c>
      <c r="B266" t="s">
        <v>1271</v>
      </c>
      <c r="C266" t="s">
        <v>61</v>
      </c>
      <c r="D266" t="s">
        <v>1180</v>
      </c>
    </row>
    <row r="267" spans="1:4" hidden="1" x14ac:dyDescent="0.3">
      <c r="A267" t="s">
        <v>499</v>
      </c>
      <c r="B267" t="s">
        <v>1271</v>
      </c>
      <c r="C267" t="s">
        <v>61</v>
      </c>
      <c r="D267" t="s">
        <v>1181</v>
      </c>
    </row>
    <row r="268" spans="1:4" hidden="1" x14ac:dyDescent="0.3">
      <c r="A268" t="s">
        <v>499</v>
      </c>
      <c r="B268" t="s">
        <v>1272</v>
      </c>
      <c r="C268" t="s">
        <v>61</v>
      </c>
      <c r="D268" t="s">
        <v>1170</v>
      </c>
    </row>
    <row r="269" spans="1:4" hidden="1" x14ac:dyDescent="0.3">
      <c r="A269" t="s">
        <v>499</v>
      </c>
      <c r="B269" t="s">
        <v>1272</v>
      </c>
      <c r="C269" t="s">
        <v>61</v>
      </c>
      <c r="D269" t="s">
        <v>1171</v>
      </c>
    </row>
    <row r="270" spans="1:4" hidden="1" x14ac:dyDescent="0.3">
      <c r="A270" t="s">
        <v>499</v>
      </c>
      <c r="B270" t="s">
        <v>1272</v>
      </c>
      <c r="C270" t="s">
        <v>61</v>
      </c>
      <c r="D270" t="s">
        <v>1172</v>
      </c>
    </row>
    <row r="271" spans="1:4" hidden="1" x14ac:dyDescent="0.3">
      <c r="A271" t="s">
        <v>499</v>
      </c>
      <c r="B271" t="s">
        <v>1272</v>
      </c>
      <c r="C271" t="s">
        <v>61</v>
      </c>
      <c r="D271" t="s">
        <v>1173</v>
      </c>
    </row>
    <row r="272" spans="1:4" hidden="1" x14ac:dyDescent="0.3">
      <c r="A272" t="s">
        <v>499</v>
      </c>
      <c r="B272" t="s">
        <v>1272</v>
      </c>
      <c r="C272" t="s">
        <v>61</v>
      </c>
      <c r="D272" t="s">
        <v>1174</v>
      </c>
    </row>
    <row r="273" spans="1:4" hidden="1" x14ac:dyDescent="0.3">
      <c r="A273" t="s">
        <v>499</v>
      </c>
      <c r="B273" t="s">
        <v>1272</v>
      </c>
      <c r="C273" t="s">
        <v>61</v>
      </c>
      <c r="D273" t="s">
        <v>1175</v>
      </c>
    </row>
    <row r="274" spans="1:4" hidden="1" x14ac:dyDescent="0.3">
      <c r="A274" t="s">
        <v>499</v>
      </c>
      <c r="B274" t="s">
        <v>1272</v>
      </c>
      <c r="C274" t="s">
        <v>61</v>
      </c>
      <c r="D274" t="s">
        <v>1176</v>
      </c>
    </row>
    <row r="275" spans="1:4" hidden="1" x14ac:dyDescent="0.3">
      <c r="A275" t="s">
        <v>499</v>
      </c>
      <c r="B275" t="s">
        <v>1272</v>
      </c>
      <c r="C275" t="s">
        <v>61</v>
      </c>
      <c r="D275" t="s">
        <v>1177</v>
      </c>
    </row>
    <row r="276" spans="1:4" hidden="1" x14ac:dyDescent="0.3">
      <c r="A276" t="s">
        <v>499</v>
      </c>
      <c r="B276" t="s">
        <v>1272</v>
      </c>
      <c r="C276" t="s">
        <v>61</v>
      </c>
      <c r="D276" t="s">
        <v>1178</v>
      </c>
    </row>
    <row r="277" spans="1:4" hidden="1" x14ac:dyDescent="0.3">
      <c r="A277" t="s">
        <v>499</v>
      </c>
      <c r="B277" t="s">
        <v>1272</v>
      </c>
      <c r="C277" t="s">
        <v>61</v>
      </c>
      <c r="D277" t="s">
        <v>1179</v>
      </c>
    </row>
    <row r="278" spans="1:4" hidden="1" x14ac:dyDescent="0.3">
      <c r="A278" t="s">
        <v>499</v>
      </c>
      <c r="B278" t="s">
        <v>1272</v>
      </c>
      <c r="C278" t="s">
        <v>61</v>
      </c>
      <c r="D278" t="s">
        <v>1180</v>
      </c>
    </row>
    <row r="279" spans="1:4" hidden="1" x14ac:dyDescent="0.3">
      <c r="A279" t="s">
        <v>499</v>
      </c>
      <c r="B279" t="s">
        <v>1272</v>
      </c>
      <c r="C279" t="s">
        <v>61</v>
      </c>
      <c r="D279" t="s">
        <v>1181</v>
      </c>
    </row>
    <row r="280" spans="1:4" hidden="1" x14ac:dyDescent="0.3">
      <c r="A280" t="s">
        <v>499</v>
      </c>
      <c r="B280" t="s">
        <v>1273</v>
      </c>
      <c r="C280" t="s">
        <v>61</v>
      </c>
      <c r="D280" t="s">
        <v>1170</v>
      </c>
    </row>
    <row r="281" spans="1:4" hidden="1" x14ac:dyDescent="0.3">
      <c r="A281" t="s">
        <v>499</v>
      </c>
      <c r="B281" t="s">
        <v>1273</v>
      </c>
      <c r="C281" t="s">
        <v>61</v>
      </c>
      <c r="D281" t="s">
        <v>1171</v>
      </c>
    </row>
    <row r="282" spans="1:4" hidden="1" x14ac:dyDescent="0.3">
      <c r="A282" t="s">
        <v>499</v>
      </c>
      <c r="B282" t="s">
        <v>1273</v>
      </c>
      <c r="C282" t="s">
        <v>61</v>
      </c>
      <c r="D282" t="s">
        <v>1172</v>
      </c>
    </row>
    <row r="283" spans="1:4" hidden="1" x14ac:dyDescent="0.3">
      <c r="A283" t="s">
        <v>499</v>
      </c>
      <c r="B283" t="s">
        <v>1273</v>
      </c>
      <c r="C283" t="s">
        <v>61</v>
      </c>
      <c r="D283" t="s">
        <v>1173</v>
      </c>
    </row>
    <row r="284" spans="1:4" hidden="1" x14ac:dyDescent="0.3">
      <c r="A284" t="s">
        <v>499</v>
      </c>
      <c r="B284" t="s">
        <v>1273</v>
      </c>
      <c r="C284" t="s">
        <v>61</v>
      </c>
      <c r="D284" t="s">
        <v>1174</v>
      </c>
    </row>
    <row r="285" spans="1:4" hidden="1" x14ac:dyDescent="0.3">
      <c r="A285" t="s">
        <v>499</v>
      </c>
      <c r="B285" t="s">
        <v>1273</v>
      </c>
      <c r="C285" t="s">
        <v>61</v>
      </c>
      <c r="D285" t="s">
        <v>1175</v>
      </c>
    </row>
    <row r="286" spans="1:4" hidden="1" x14ac:dyDescent="0.3">
      <c r="A286" t="s">
        <v>499</v>
      </c>
      <c r="B286" t="s">
        <v>1273</v>
      </c>
      <c r="C286" t="s">
        <v>61</v>
      </c>
      <c r="D286" t="s">
        <v>1176</v>
      </c>
    </row>
    <row r="287" spans="1:4" hidden="1" x14ac:dyDescent="0.3">
      <c r="A287" t="s">
        <v>499</v>
      </c>
      <c r="B287" t="s">
        <v>1273</v>
      </c>
      <c r="C287" t="s">
        <v>61</v>
      </c>
      <c r="D287" t="s">
        <v>1177</v>
      </c>
    </row>
    <row r="288" spans="1:4" hidden="1" x14ac:dyDescent="0.3">
      <c r="A288" t="s">
        <v>499</v>
      </c>
      <c r="B288" t="s">
        <v>1273</v>
      </c>
      <c r="C288" t="s">
        <v>61</v>
      </c>
      <c r="D288" t="s">
        <v>1178</v>
      </c>
    </row>
    <row r="289" spans="1:4" hidden="1" x14ac:dyDescent="0.3">
      <c r="A289" t="s">
        <v>499</v>
      </c>
      <c r="B289" t="s">
        <v>1273</v>
      </c>
      <c r="C289" t="s">
        <v>61</v>
      </c>
      <c r="D289" t="s">
        <v>1179</v>
      </c>
    </row>
    <row r="290" spans="1:4" hidden="1" x14ac:dyDescent="0.3">
      <c r="A290" t="s">
        <v>499</v>
      </c>
      <c r="B290" t="s">
        <v>1273</v>
      </c>
      <c r="C290" t="s">
        <v>61</v>
      </c>
      <c r="D290" t="s">
        <v>1180</v>
      </c>
    </row>
    <row r="291" spans="1:4" hidden="1" x14ac:dyDescent="0.3">
      <c r="A291" t="s">
        <v>499</v>
      </c>
      <c r="B291" t="s">
        <v>1273</v>
      </c>
      <c r="C291" t="s">
        <v>61</v>
      </c>
      <c r="D291" t="s">
        <v>1181</v>
      </c>
    </row>
    <row r="292" spans="1:4" hidden="1" x14ac:dyDescent="0.3">
      <c r="A292" t="s">
        <v>463</v>
      </c>
      <c r="B292" t="s">
        <v>1274</v>
      </c>
      <c r="C292" t="s">
        <v>1169</v>
      </c>
      <c r="D292" t="s">
        <v>1170</v>
      </c>
    </row>
    <row r="293" spans="1:4" hidden="1" x14ac:dyDescent="0.3">
      <c r="A293" t="s">
        <v>463</v>
      </c>
      <c r="B293" t="s">
        <v>1274</v>
      </c>
      <c r="C293" t="s">
        <v>1169</v>
      </c>
      <c r="D293" t="s">
        <v>1171</v>
      </c>
    </row>
    <row r="294" spans="1:4" hidden="1" x14ac:dyDescent="0.3">
      <c r="A294" t="s">
        <v>463</v>
      </c>
      <c r="B294" t="s">
        <v>1274</v>
      </c>
      <c r="C294" t="s">
        <v>1169</v>
      </c>
      <c r="D294" t="s">
        <v>1172</v>
      </c>
    </row>
    <row r="295" spans="1:4" hidden="1" x14ac:dyDescent="0.3">
      <c r="A295" t="s">
        <v>463</v>
      </c>
      <c r="B295" t="s">
        <v>1274</v>
      </c>
      <c r="C295" t="s">
        <v>1169</v>
      </c>
      <c r="D295" t="s">
        <v>1173</v>
      </c>
    </row>
    <row r="296" spans="1:4" hidden="1" x14ac:dyDescent="0.3">
      <c r="A296" t="s">
        <v>463</v>
      </c>
      <c r="B296" t="s">
        <v>1274</v>
      </c>
      <c r="C296" t="s">
        <v>1169</v>
      </c>
      <c r="D296" t="s">
        <v>1174</v>
      </c>
    </row>
    <row r="297" spans="1:4" hidden="1" x14ac:dyDescent="0.3">
      <c r="A297" t="s">
        <v>463</v>
      </c>
      <c r="B297" t="s">
        <v>1274</v>
      </c>
      <c r="C297" t="s">
        <v>1169</v>
      </c>
      <c r="D297" t="s">
        <v>1175</v>
      </c>
    </row>
    <row r="298" spans="1:4" hidden="1" x14ac:dyDescent="0.3">
      <c r="A298" t="s">
        <v>463</v>
      </c>
      <c r="B298" t="s">
        <v>1274</v>
      </c>
      <c r="C298" t="s">
        <v>1169</v>
      </c>
      <c r="D298" t="s">
        <v>1176</v>
      </c>
    </row>
    <row r="299" spans="1:4" hidden="1" x14ac:dyDescent="0.3">
      <c r="A299" t="s">
        <v>463</v>
      </c>
      <c r="B299" t="s">
        <v>1274</v>
      </c>
      <c r="C299" t="s">
        <v>1169</v>
      </c>
      <c r="D299" t="s">
        <v>1177</v>
      </c>
    </row>
    <row r="300" spans="1:4" hidden="1" x14ac:dyDescent="0.3">
      <c r="A300" t="s">
        <v>463</v>
      </c>
      <c r="B300" t="s">
        <v>1274</v>
      </c>
      <c r="C300" t="s">
        <v>1169</v>
      </c>
      <c r="D300" t="s">
        <v>1178</v>
      </c>
    </row>
    <row r="301" spans="1:4" hidden="1" x14ac:dyDescent="0.3">
      <c r="A301" t="s">
        <v>463</v>
      </c>
      <c r="B301" t="s">
        <v>1274</v>
      </c>
      <c r="C301" t="s">
        <v>1169</v>
      </c>
      <c r="D301" t="s">
        <v>1179</v>
      </c>
    </row>
    <row r="302" spans="1:4" hidden="1" x14ac:dyDescent="0.3">
      <c r="A302" t="s">
        <v>463</v>
      </c>
      <c r="B302" t="s">
        <v>1274</v>
      </c>
      <c r="C302" t="s">
        <v>1169</v>
      </c>
      <c r="D302" t="s">
        <v>1180</v>
      </c>
    </row>
    <row r="303" spans="1:4" hidden="1" x14ac:dyDescent="0.3">
      <c r="A303" t="s">
        <v>463</v>
      </c>
      <c r="B303" t="s">
        <v>1274</v>
      </c>
      <c r="C303" t="s">
        <v>1169</v>
      </c>
      <c r="D303" t="s">
        <v>1181</v>
      </c>
    </row>
    <row r="304" spans="1:4" hidden="1" x14ac:dyDescent="0.3">
      <c r="A304" t="s">
        <v>463</v>
      </c>
      <c r="B304" t="s">
        <v>1275</v>
      </c>
      <c r="C304" t="s">
        <v>1251</v>
      </c>
      <c r="D304" t="s">
        <v>1170</v>
      </c>
    </row>
    <row r="305" spans="1:7" hidden="1" x14ac:dyDescent="0.3">
      <c r="A305" t="s">
        <v>463</v>
      </c>
      <c r="B305" t="s">
        <v>1275</v>
      </c>
      <c r="C305" t="s">
        <v>1251</v>
      </c>
      <c r="D305" t="s">
        <v>1171</v>
      </c>
    </row>
    <row r="306" spans="1:7" hidden="1" x14ac:dyDescent="0.3">
      <c r="A306" t="s">
        <v>463</v>
      </c>
      <c r="B306" t="s">
        <v>1275</v>
      </c>
      <c r="C306" t="s">
        <v>1251</v>
      </c>
      <c r="D306" t="s">
        <v>1172</v>
      </c>
    </row>
    <row r="307" spans="1:7" hidden="1" x14ac:dyDescent="0.3">
      <c r="A307" t="s">
        <v>463</v>
      </c>
      <c r="B307" t="s">
        <v>1275</v>
      </c>
      <c r="C307" t="s">
        <v>1251</v>
      </c>
      <c r="D307" t="s">
        <v>1173</v>
      </c>
    </row>
    <row r="308" spans="1:7" hidden="1" x14ac:dyDescent="0.3">
      <c r="A308" t="s">
        <v>463</v>
      </c>
      <c r="B308" t="s">
        <v>1275</v>
      </c>
      <c r="C308" t="s">
        <v>1251</v>
      </c>
      <c r="D308" t="s">
        <v>1174</v>
      </c>
    </row>
    <row r="309" spans="1:7" hidden="1" x14ac:dyDescent="0.3">
      <c r="A309" t="s">
        <v>463</v>
      </c>
      <c r="B309" t="s">
        <v>1275</v>
      </c>
      <c r="C309" t="s">
        <v>1251</v>
      </c>
      <c r="D309" t="s">
        <v>1175</v>
      </c>
    </row>
    <row r="310" spans="1:7" hidden="1" x14ac:dyDescent="0.3">
      <c r="A310" t="s">
        <v>463</v>
      </c>
      <c r="B310" t="s">
        <v>1275</v>
      </c>
      <c r="C310" t="s">
        <v>1251</v>
      </c>
      <c r="D310" t="s">
        <v>1176</v>
      </c>
    </row>
    <row r="311" spans="1:7" hidden="1" x14ac:dyDescent="0.3">
      <c r="A311" t="s">
        <v>463</v>
      </c>
      <c r="B311" t="s">
        <v>1275</v>
      </c>
      <c r="C311" t="s">
        <v>1251</v>
      </c>
      <c r="D311" t="s">
        <v>1177</v>
      </c>
    </row>
    <row r="312" spans="1:7" hidden="1" x14ac:dyDescent="0.3">
      <c r="A312" t="s">
        <v>463</v>
      </c>
      <c r="B312" t="s">
        <v>1275</v>
      </c>
      <c r="C312" t="s">
        <v>1251</v>
      </c>
      <c r="D312" t="s">
        <v>1178</v>
      </c>
    </row>
    <row r="313" spans="1:7" hidden="1" x14ac:dyDescent="0.3">
      <c r="A313" t="s">
        <v>463</v>
      </c>
      <c r="B313" t="s">
        <v>1275</v>
      </c>
      <c r="C313" t="s">
        <v>1251</v>
      </c>
      <c r="D313" t="s">
        <v>1179</v>
      </c>
    </row>
    <row r="314" spans="1:7" hidden="1" x14ac:dyDescent="0.3">
      <c r="A314" t="s">
        <v>463</v>
      </c>
      <c r="B314" t="s">
        <v>1275</v>
      </c>
      <c r="C314" t="s">
        <v>1251</v>
      </c>
      <c r="D314" t="s">
        <v>1180</v>
      </c>
    </row>
    <row r="315" spans="1:7" hidden="1" x14ac:dyDescent="0.3">
      <c r="A315" t="s">
        <v>463</v>
      </c>
      <c r="B315" t="s">
        <v>1275</v>
      </c>
      <c r="C315" t="s">
        <v>1251</v>
      </c>
      <c r="D315" t="s">
        <v>1181</v>
      </c>
    </row>
    <row r="316" spans="1:7" x14ac:dyDescent="0.3">
      <c r="A316" t="s">
        <v>463</v>
      </c>
      <c r="B316" t="s">
        <v>1276</v>
      </c>
      <c r="C316" t="s">
        <v>54</v>
      </c>
      <c r="D316" t="s">
        <v>1170</v>
      </c>
      <c r="E316" s="377">
        <v>65.99867368421053</v>
      </c>
      <c r="F316" s="377">
        <v>65.99867368421053</v>
      </c>
      <c r="G316" s="377">
        <v>0</v>
      </c>
    </row>
    <row r="317" spans="1:7" x14ac:dyDescent="0.3">
      <c r="A317" t="s">
        <v>463</v>
      </c>
      <c r="B317" t="s">
        <v>1276</v>
      </c>
      <c r="C317" t="s">
        <v>54</v>
      </c>
      <c r="D317" t="s">
        <v>1171</v>
      </c>
      <c r="E317" s="377">
        <v>59.611705263157887</v>
      </c>
      <c r="F317" s="377">
        <v>59.611705263157887</v>
      </c>
      <c r="G317" s="377">
        <v>0</v>
      </c>
    </row>
    <row r="318" spans="1:7" x14ac:dyDescent="0.3">
      <c r="A318" t="s">
        <v>463</v>
      </c>
      <c r="B318" t="s">
        <v>1276</v>
      </c>
      <c r="C318" t="s">
        <v>54</v>
      </c>
      <c r="D318" t="s">
        <v>1172</v>
      </c>
      <c r="E318" s="377">
        <v>56.779482168106831</v>
      </c>
      <c r="F318" s="377">
        <v>56.779482168106831</v>
      </c>
      <c r="G318" s="377">
        <v>0</v>
      </c>
    </row>
    <row r="319" spans="1:7" x14ac:dyDescent="0.3">
      <c r="A319" t="s">
        <v>463</v>
      </c>
      <c r="B319" t="s">
        <v>1276</v>
      </c>
      <c r="C319" t="s">
        <v>54</v>
      </c>
      <c r="D319" t="s">
        <v>1173</v>
      </c>
      <c r="E319" s="377">
        <v>42.594626865671643</v>
      </c>
      <c r="F319" s="377">
        <v>42.594626865671643</v>
      </c>
      <c r="G319" s="377">
        <v>0</v>
      </c>
    </row>
    <row r="320" spans="1:7" x14ac:dyDescent="0.3">
      <c r="A320" t="s">
        <v>463</v>
      </c>
      <c r="B320" t="s">
        <v>1276</v>
      </c>
      <c r="C320" t="s">
        <v>54</v>
      </c>
      <c r="D320" t="s">
        <v>1174</v>
      </c>
      <c r="E320" s="377">
        <v>42.257258193568241</v>
      </c>
      <c r="F320" s="377">
        <v>42.257258193568241</v>
      </c>
      <c r="G320" s="377">
        <v>0</v>
      </c>
    </row>
    <row r="321" spans="1:7" x14ac:dyDescent="0.3">
      <c r="A321" t="s">
        <v>463</v>
      </c>
      <c r="B321" t="s">
        <v>1276</v>
      </c>
      <c r="C321" t="s">
        <v>54</v>
      </c>
      <c r="D321" t="s">
        <v>1175</v>
      </c>
      <c r="E321" s="377">
        <v>35.063814432989687</v>
      </c>
      <c r="F321" s="377">
        <v>35.063814432989687</v>
      </c>
      <c r="G321" s="377">
        <v>0</v>
      </c>
    </row>
    <row r="322" spans="1:7" x14ac:dyDescent="0.3">
      <c r="A322" t="s">
        <v>463</v>
      </c>
      <c r="B322" t="s">
        <v>1276</v>
      </c>
      <c r="C322" t="s">
        <v>54</v>
      </c>
      <c r="D322" t="s">
        <v>1176</v>
      </c>
      <c r="E322" s="377">
        <v>36.232608247422682</v>
      </c>
      <c r="F322" s="377">
        <v>36.232608247422682</v>
      </c>
      <c r="G322" s="377">
        <v>0</v>
      </c>
    </row>
    <row r="323" spans="1:7" x14ac:dyDescent="0.3">
      <c r="A323" t="s">
        <v>463</v>
      </c>
      <c r="B323" t="s">
        <v>1276</v>
      </c>
      <c r="C323" t="s">
        <v>54</v>
      </c>
      <c r="D323" t="s">
        <v>1177</v>
      </c>
      <c r="E323" s="377">
        <v>36.232608247422682</v>
      </c>
      <c r="F323" s="377">
        <v>33.8950206185567</v>
      </c>
      <c r="G323" s="377">
        <v>2.337587628865982</v>
      </c>
    </row>
    <row r="324" spans="1:7" x14ac:dyDescent="0.3">
      <c r="A324" t="s">
        <v>463</v>
      </c>
      <c r="B324" t="s">
        <v>1276</v>
      </c>
      <c r="C324" t="s">
        <v>54</v>
      </c>
      <c r="D324" t="s">
        <v>1178</v>
      </c>
      <c r="E324" s="377">
        <v>27</v>
      </c>
      <c r="F324" s="377">
        <v>0</v>
      </c>
      <c r="G324" s="377">
        <v>9.6475961538461537</v>
      </c>
    </row>
    <row r="325" spans="1:7" x14ac:dyDescent="0.3">
      <c r="A325" t="s">
        <v>463</v>
      </c>
      <c r="B325" t="s">
        <v>1276</v>
      </c>
      <c r="C325" t="s">
        <v>54</v>
      </c>
      <c r="D325" t="s">
        <v>1179</v>
      </c>
      <c r="E325" s="377">
        <v>28</v>
      </c>
      <c r="F325" s="377">
        <v>0</v>
      </c>
      <c r="G325" s="377">
        <v>9.9691826923076938</v>
      </c>
    </row>
    <row r="326" spans="1:7" x14ac:dyDescent="0.3">
      <c r="A326" t="s">
        <v>463</v>
      </c>
      <c r="B326" t="s">
        <v>1276</v>
      </c>
      <c r="C326" t="s">
        <v>54</v>
      </c>
      <c r="D326" t="s">
        <v>1180</v>
      </c>
      <c r="E326" s="377">
        <v>27</v>
      </c>
      <c r="F326" s="377">
        <v>0</v>
      </c>
      <c r="G326" s="377">
        <v>9.6475961538461537</v>
      </c>
    </row>
    <row r="327" spans="1:7" x14ac:dyDescent="0.3">
      <c r="A327" t="s">
        <v>463</v>
      </c>
      <c r="B327" t="s">
        <v>1276</v>
      </c>
      <c r="C327" t="s">
        <v>54</v>
      </c>
      <c r="D327" t="s">
        <v>1181</v>
      </c>
      <c r="E327" s="377">
        <v>28</v>
      </c>
      <c r="F327" s="377">
        <v>0</v>
      </c>
      <c r="G327" s="377">
        <v>42.502435526315793</v>
      </c>
    </row>
    <row r="328" spans="1:7" hidden="1" x14ac:dyDescent="0.3">
      <c r="A328" t="s">
        <v>463</v>
      </c>
      <c r="B328" t="s">
        <v>1277</v>
      </c>
      <c r="C328" t="s">
        <v>1169</v>
      </c>
      <c r="D328" t="s">
        <v>1170</v>
      </c>
    </row>
    <row r="329" spans="1:7" hidden="1" x14ac:dyDescent="0.3">
      <c r="A329" t="s">
        <v>463</v>
      </c>
      <c r="B329" t="s">
        <v>1277</v>
      </c>
      <c r="C329" t="s">
        <v>1169</v>
      </c>
      <c r="D329" t="s">
        <v>1171</v>
      </c>
    </row>
    <row r="330" spans="1:7" hidden="1" x14ac:dyDescent="0.3">
      <c r="A330" t="s">
        <v>463</v>
      </c>
      <c r="B330" t="s">
        <v>1277</v>
      </c>
      <c r="C330" t="s">
        <v>1169</v>
      </c>
      <c r="D330" t="s">
        <v>1172</v>
      </c>
    </row>
    <row r="331" spans="1:7" hidden="1" x14ac:dyDescent="0.3">
      <c r="A331" t="s">
        <v>463</v>
      </c>
      <c r="B331" t="s">
        <v>1277</v>
      </c>
      <c r="C331" t="s">
        <v>1169</v>
      </c>
      <c r="D331" t="s">
        <v>1173</v>
      </c>
    </row>
    <row r="332" spans="1:7" hidden="1" x14ac:dyDescent="0.3">
      <c r="A332" t="s">
        <v>463</v>
      </c>
      <c r="B332" t="s">
        <v>1277</v>
      </c>
      <c r="C332" t="s">
        <v>1169</v>
      </c>
      <c r="D332" t="s">
        <v>1174</v>
      </c>
    </row>
    <row r="333" spans="1:7" hidden="1" x14ac:dyDescent="0.3">
      <c r="A333" t="s">
        <v>463</v>
      </c>
      <c r="B333" t="s">
        <v>1277</v>
      </c>
      <c r="C333" t="s">
        <v>1169</v>
      </c>
      <c r="D333" t="s">
        <v>1175</v>
      </c>
    </row>
    <row r="334" spans="1:7" hidden="1" x14ac:dyDescent="0.3">
      <c r="A334" t="s">
        <v>463</v>
      </c>
      <c r="B334" t="s">
        <v>1277</v>
      </c>
      <c r="C334" t="s">
        <v>1169</v>
      </c>
      <c r="D334" t="s">
        <v>1176</v>
      </c>
    </row>
    <row r="335" spans="1:7" hidden="1" x14ac:dyDescent="0.3">
      <c r="A335" t="s">
        <v>463</v>
      </c>
      <c r="B335" t="s">
        <v>1277</v>
      </c>
      <c r="C335" t="s">
        <v>1169</v>
      </c>
      <c r="D335" t="s">
        <v>1177</v>
      </c>
    </row>
    <row r="336" spans="1:7" hidden="1" x14ac:dyDescent="0.3">
      <c r="A336" t="s">
        <v>463</v>
      </c>
      <c r="B336" t="s">
        <v>1277</v>
      </c>
      <c r="C336" t="s">
        <v>1169</v>
      </c>
      <c r="D336" t="s">
        <v>1178</v>
      </c>
    </row>
    <row r="337" spans="1:4" hidden="1" x14ac:dyDescent="0.3">
      <c r="A337" t="s">
        <v>463</v>
      </c>
      <c r="B337" t="s">
        <v>1277</v>
      </c>
      <c r="C337" t="s">
        <v>1169</v>
      </c>
      <c r="D337" t="s">
        <v>1179</v>
      </c>
    </row>
    <row r="338" spans="1:4" hidden="1" x14ac:dyDescent="0.3">
      <c r="A338" t="s">
        <v>463</v>
      </c>
      <c r="B338" t="s">
        <v>1277</v>
      </c>
      <c r="C338" t="s">
        <v>1169</v>
      </c>
      <c r="D338" t="s">
        <v>1180</v>
      </c>
    </row>
    <row r="339" spans="1:4" hidden="1" x14ac:dyDescent="0.3">
      <c r="A339" t="s">
        <v>463</v>
      </c>
      <c r="B339" t="s">
        <v>1277</v>
      </c>
      <c r="C339" t="s">
        <v>1169</v>
      </c>
      <c r="D339" t="s">
        <v>1181</v>
      </c>
    </row>
    <row r="340" spans="1:4" hidden="1" x14ac:dyDescent="0.3">
      <c r="A340" t="s">
        <v>463</v>
      </c>
      <c r="B340" t="s">
        <v>1278</v>
      </c>
      <c r="C340" t="s">
        <v>1169</v>
      </c>
      <c r="D340" t="s">
        <v>1170</v>
      </c>
    </row>
    <row r="341" spans="1:4" hidden="1" x14ac:dyDescent="0.3">
      <c r="A341" t="s">
        <v>463</v>
      </c>
      <c r="B341" t="s">
        <v>1278</v>
      </c>
      <c r="C341" t="s">
        <v>1169</v>
      </c>
      <c r="D341" t="s">
        <v>1171</v>
      </c>
    </row>
    <row r="342" spans="1:4" hidden="1" x14ac:dyDescent="0.3">
      <c r="A342" t="s">
        <v>463</v>
      </c>
      <c r="B342" t="s">
        <v>1278</v>
      </c>
      <c r="C342" t="s">
        <v>1169</v>
      </c>
      <c r="D342" t="s">
        <v>1172</v>
      </c>
    </row>
    <row r="343" spans="1:4" hidden="1" x14ac:dyDescent="0.3">
      <c r="A343" t="s">
        <v>463</v>
      </c>
      <c r="B343" t="s">
        <v>1278</v>
      </c>
      <c r="C343" t="s">
        <v>1169</v>
      </c>
      <c r="D343" t="s">
        <v>1173</v>
      </c>
    </row>
    <row r="344" spans="1:4" hidden="1" x14ac:dyDescent="0.3">
      <c r="A344" t="s">
        <v>463</v>
      </c>
      <c r="B344" t="s">
        <v>1278</v>
      </c>
      <c r="C344" t="s">
        <v>1169</v>
      </c>
      <c r="D344" t="s">
        <v>1174</v>
      </c>
    </row>
    <row r="345" spans="1:4" hidden="1" x14ac:dyDescent="0.3">
      <c r="A345" t="s">
        <v>463</v>
      </c>
      <c r="B345" t="s">
        <v>1278</v>
      </c>
      <c r="C345" t="s">
        <v>1169</v>
      </c>
      <c r="D345" t="s">
        <v>1175</v>
      </c>
    </row>
    <row r="346" spans="1:4" hidden="1" x14ac:dyDescent="0.3">
      <c r="A346" t="s">
        <v>463</v>
      </c>
      <c r="B346" t="s">
        <v>1278</v>
      </c>
      <c r="C346" t="s">
        <v>1169</v>
      </c>
      <c r="D346" t="s">
        <v>1176</v>
      </c>
    </row>
    <row r="347" spans="1:4" hidden="1" x14ac:dyDescent="0.3">
      <c r="A347" t="s">
        <v>463</v>
      </c>
      <c r="B347" t="s">
        <v>1278</v>
      </c>
      <c r="C347" t="s">
        <v>1169</v>
      </c>
      <c r="D347" t="s">
        <v>1177</v>
      </c>
    </row>
    <row r="348" spans="1:4" hidden="1" x14ac:dyDescent="0.3">
      <c r="A348" t="s">
        <v>463</v>
      </c>
      <c r="B348" t="s">
        <v>1278</v>
      </c>
      <c r="C348" t="s">
        <v>1169</v>
      </c>
      <c r="D348" t="s">
        <v>1178</v>
      </c>
    </row>
    <row r="349" spans="1:4" hidden="1" x14ac:dyDescent="0.3">
      <c r="A349" t="s">
        <v>463</v>
      </c>
      <c r="B349" t="s">
        <v>1278</v>
      </c>
      <c r="C349" t="s">
        <v>1169</v>
      </c>
      <c r="D349" t="s">
        <v>1179</v>
      </c>
    </row>
    <row r="350" spans="1:4" hidden="1" x14ac:dyDescent="0.3">
      <c r="A350" t="s">
        <v>463</v>
      </c>
      <c r="B350" t="s">
        <v>1278</v>
      </c>
      <c r="C350" t="s">
        <v>1169</v>
      </c>
      <c r="D350" t="s">
        <v>1180</v>
      </c>
    </row>
    <row r="351" spans="1:4" hidden="1" x14ac:dyDescent="0.3">
      <c r="A351" t="s">
        <v>463</v>
      </c>
      <c r="B351" t="s">
        <v>1278</v>
      </c>
      <c r="C351" t="s">
        <v>1169</v>
      </c>
      <c r="D351" t="s">
        <v>1181</v>
      </c>
    </row>
    <row r="352" spans="1:4" hidden="1" x14ac:dyDescent="0.3">
      <c r="A352" t="s">
        <v>463</v>
      </c>
      <c r="B352" t="s">
        <v>1279</v>
      </c>
      <c r="C352" t="s">
        <v>1169</v>
      </c>
      <c r="D352" t="s">
        <v>1170</v>
      </c>
    </row>
    <row r="353" spans="1:4" hidden="1" x14ac:dyDescent="0.3">
      <c r="A353" t="s">
        <v>463</v>
      </c>
      <c r="B353" t="s">
        <v>1279</v>
      </c>
      <c r="C353" t="s">
        <v>1169</v>
      </c>
      <c r="D353" t="s">
        <v>1171</v>
      </c>
    </row>
    <row r="354" spans="1:4" hidden="1" x14ac:dyDescent="0.3">
      <c r="A354" t="s">
        <v>463</v>
      </c>
      <c r="B354" t="s">
        <v>1279</v>
      </c>
      <c r="C354" t="s">
        <v>1169</v>
      </c>
      <c r="D354" t="s">
        <v>1172</v>
      </c>
    </row>
    <row r="355" spans="1:4" hidden="1" x14ac:dyDescent="0.3">
      <c r="A355" t="s">
        <v>463</v>
      </c>
      <c r="B355" t="s">
        <v>1279</v>
      </c>
      <c r="C355" t="s">
        <v>1169</v>
      </c>
      <c r="D355" t="s">
        <v>1173</v>
      </c>
    </row>
    <row r="356" spans="1:4" hidden="1" x14ac:dyDescent="0.3">
      <c r="A356" t="s">
        <v>463</v>
      </c>
      <c r="B356" t="s">
        <v>1279</v>
      </c>
      <c r="C356" t="s">
        <v>1169</v>
      </c>
      <c r="D356" t="s">
        <v>1174</v>
      </c>
    </row>
    <row r="357" spans="1:4" hidden="1" x14ac:dyDescent="0.3">
      <c r="A357" t="s">
        <v>463</v>
      </c>
      <c r="B357" t="s">
        <v>1279</v>
      </c>
      <c r="C357" t="s">
        <v>1169</v>
      </c>
      <c r="D357" t="s">
        <v>1175</v>
      </c>
    </row>
    <row r="358" spans="1:4" hidden="1" x14ac:dyDescent="0.3">
      <c r="A358" t="s">
        <v>463</v>
      </c>
      <c r="B358" t="s">
        <v>1279</v>
      </c>
      <c r="C358" t="s">
        <v>1169</v>
      </c>
      <c r="D358" t="s">
        <v>1176</v>
      </c>
    </row>
    <row r="359" spans="1:4" hidden="1" x14ac:dyDescent="0.3">
      <c r="A359" t="s">
        <v>463</v>
      </c>
      <c r="B359" t="s">
        <v>1279</v>
      </c>
      <c r="C359" t="s">
        <v>1169</v>
      </c>
      <c r="D359" t="s">
        <v>1177</v>
      </c>
    </row>
    <row r="360" spans="1:4" hidden="1" x14ac:dyDescent="0.3">
      <c r="A360" t="s">
        <v>463</v>
      </c>
      <c r="B360" t="s">
        <v>1279</v>
      </c>
      <c r="C360" t="s">
        <v>1169</v>
      </c>
      <c r="D360" t="s">
        <v>1178</v>
      </c>
    </row>
    <row r="361" spans="1:4" hidden="1" x14ac:dyDescent="0.3">
      <c r="A361" t="s">
        <v>463</v>
      </c>
      <c r="B361" t="s">
        <v>1279</v>
      </c>
      <c r="C361" t="s">
        <v>1169</v>
      </c>
      <c r="D361" t="s">
        <v>1179</v>
      </c>
    </row>
    <row r="362" spans="1:4" hidden="1" x14ac:dyDescent="0.3">
      <c r="A362" t="s">
        <v>463</v>
      </c>
      <c r="B362" t="s">
        <v>1279</v>
      </c>
      <c r="C362" t="s">
        <v>1169</v>
      </c>
      <c r="D362" t="s">
        <v>1180</v>
      </c>
    </row>
    <row r="363" spans="1:4" hidden="1" x14ac:dyDescent="0.3">
      <c r="A363" t="s">
        <v>463</v>
      </c>
      <c r="B363" t="s">
        <v>1280</v>
      </c>
      <c r="C363" t="s">
        <v>1169</v>
      </c>
      <c r="D363" t="s">
        <v>1170</v>
      </c>
    </row>
    <row r="364" spans="1:4" hidden="1" x14ac:dyDescent="0.3">
      <c r="A364" t="s">
        <v>463</v>
      </c>
      <c r="B364" t="s">
        <v>1280</v>
      </c>
      <c r="C364" t="s">
        <v>1169</v>
      </c>
      <c r="D364" t="s">
        <v>1171</v>
      </c>
    </row>
    <row r="365" spans="1:4" hidden="1" x14ac:dyDescent="0.3">
      <c r="A365" t="s">
        <v>463</v>
      </c>
      <c r="B365" t="s">
        <v>1280</v>
      </c>
      <c r="C365" t="s">
        <v>1169</v>
      </c>
      <c r="D365" t="s">
        <v>1172</v>
      </c>
    </row>
    <row r="366" spans="1:4" hidden="1" x14ac:dyDescent="0.3">
      <c r="A366" t="s">
        <v>463</v>
      </c>
      <c r="B366" t="s">
        <v>1280</v>
      </c>
      <c r="C366" t="s">
        <v>1169</v>
      </c>
      <c r="D366" t="s">
        <v>1173</v>
      </c>
    </row>
    <row r="367" spans="1:4" hidden="1" x14ac:dyDescent="0.3">
      <c r="A367" t="s">
        <v>463</v>
      </c>
      <c r="B367" t="s">
        <v>1280</v>
      </c>
      <c r="C367" t="s">
        <v>1169</v>
      </c>
      <c r="D367" t="s">
        <v>1174</v>
      </c>
    </row>
    <row r="368" spans="1:4" hidden="1" x14ac:dyDescent="0.3">
      <c r="A368" t="s">
        <v>463</v>
      </c>
      <c r="B368" t="s">
        <v>1280</v>
      </c>
      <c r="C368" t="s">
        <v>1169</v>
      </c>
      <c r="D368" t="s">
        <v>1175</v>
      </c>
    </row>
    <row r="369" spans="1:4" hidden="1" x14ac:dyDescent="0.3">
      <c r="A369" t="s">
        <v>463</v>
      </c>
      <c r="B369" t="s">
        <v>1280</v>
      </c>
      <c r="C369" t="s">
        <v>1169</v>
      </c>
      <c r="D369" t="s">
        <v>1176</v>
      </c>
    </row>
    <row r="370" spans="1:4" hidden="1" x14ac:dyDescent="0.3">
      <c r="A370" t="s">
        <v>463</v>
      </c>
      <c r="B370" t="s">
        <v>1280</v>
      </c>
      <c r="C370" t="s">
        <v>1169</v>
      </c>
      <c r="D370" t="s">
        <v>1177</v>
      </c>
    </row>
    <row r="371" spans="1:4" hidden="1" x14ac:dyDescent="0.3">
      <c r="A371" t="s">
        <v>463</v>
      </c>
      <c r="B371" t="s">
        <v>1280</v>
      </c>
      <c r="C371" t="s">
        <v>1169</v>
      </c>
      <c r="D371" t="s">
        <v>1178</v>
      </c>
    </row>
    <row r="372" spans="1:4" hidden="1" x14ac:dyDescent="0.3">
      <c r="A372" t="s">
        <v>463</v>
      </c>
      <c r="B372" t="s">
        <v>1280</v>
      </c>
      <c r="C372" t="s">
        <v>1169</v>
      </c>
      <c r="D372" t="s">
        <v>1179</v>
      </c>
    </row>
    <row r="373" spans="1:4" hidden="1" x14ac:dyDescent="0.3">
      <c r="A373" t="s">
        <v>453</v>
      </c>
      <c r="B373" t="s">
        <v>1281</v>
      </c>
      <c r="C373" t="s">
        <v>1169</v>
      </c>
      <c r="D373" t="s">
        <v>1170</v>
      </c>
    </row>
    <row r="374" spans="1:4" hidden="1" x14ac:dyDescent="0.3">
      <c r="A374" t="s">
        <v>453</v>
      </c>
      <c r="B374" t="s">
        <v>1281</v>
      </c>
      <c r="C374" t="s">
        <v>1169</v>
      </c>
      <c r="D374" t="s">
        <v>1171</v>
      </c>
    </row>
    <row r="375" spans="1:4" hidden="1" x14ac:dyDescent="0.3">
      <c r="A375" t="s">
        <v>453</v>
      </c>
      <c r="B375" t="s">
        <v>1281</v>
      </c>
      <c r="C375" t="s">
        <v>1169</v>
      </c>
      <c r="D375" t="s">
        <v>1172</v>
      </c>
    </row>
    <row r="376" spans="1:4" hidden="1" x14ac:dyDescent="0.3">
      <c r="A376" t="s">
        <v>453</v>
      </c>
      <c r="B376" t="s">
        <v>1281</v>
      </c>
      <c r="C376" t="s">
        <v>1169</v>
      </c>
      <c r="D376" t="s">
        <v>1173</v>
      </c>
    </row>
    <row r="377" spans="1:4" hidden="1" x14ac:dyDescent="0.3">
      <c r="A377" t="s">
        <v>453</v>
      </c>
      <c r="B377" t="s">
        <v>1281</v>
      </c>
      <c r="C377" t="s">
        <v>1169</v>
      </c>
      <c r="D377" t="s">
        <v>1174</v>
      </c>
    </row>
    <row r="378" spans="1:4" hidden="1" x14ac:dyDescent="0.3">
      <c r="A378" t="s">
        <v>453</v>
      </c>
      <c r="B378" t="s">
        <v>1281</v>
      </c>
      <c r="C378" t="s">
        <v>1169</v>
      </c>
      <c r="D378" t="s">
        <v>1175</v>
      </c>
    </row>
    <row r="379" spans="1:4" hidden="1" x14ac:dyDescent="0.3">
      <c r="A379" t="s">
        <v>453</v>
      </c>
      <c r="B379" t="s">
        <v>1281</v>
      </c>
      <c r="C379" t="s">
        <v>1169</v>
      </c>
      <c r="D379" t="s">
        <v>1176</v>
      </c>
    </row>
    <row r="380" spans="1:4" hidden="1" x14ac:dyDescent="0.3">
      <c r="A380" t="s">
        <v>453</v>
      </c>
      <c r="B380" t="s">
        <v>1281</v>
      </c>
      <c r="C380" t="s">
        <v>1169</v>
      </c>
      <c r="D380" t="s">
        <v>1177</v>
      </c>
    </row>
    <row r="381" spans="1:4" hidden="1" x14ac:dyDescent="0.3">
      <c r="A381" t="s">
        <v>453</v>
      </c>
      <c r="B381" t="s">
        <v>1281</v>
      </c>
      <c r="C381" t="s">
        <v>1169</v>
      </c>
      <c r="D381" t="s">
        <v>1178</v>
      </c>
    </row>
    <row r="382" spans="1:4" hidden="1" x14ac:dyDescent="0.3">
      <c r="A382" t="s">
        <v>453</v>
      </c>
      <c r="B382" t="s">
        <v>1281</v>
      </c>
      <c r="C382" t="s">
        <v>1169</v>
      </c>
      <c r="D382" t="s">
        <v>1179</v>
      </c>
    </row>
    <row r="383" spans="1:4" hidden="1" x14ac:dyDescent="0.3">
      <c r="A383" t="s">
        <v>453</v>
      </c>
      <c r="B383" t="s">
        <v>1281</v>
      </c>
      <c r="C383" t="s">
        <v>1169</v>
      </c>
      <c r="D383" t="s">
        <v>1180</v>
      </c>
    </row>
    <row r="384" spans="1:4" hidden="1" x14ac:dyDescent="0.3">
      <c r="A384" t="s">
        <v>453</v>
      </c>
      <c r="B384" t="s">
        <v>1281</v>
      </c>
      <c r="C384" t="s">
        <v>1169</v>
      </c>
      <c r="D384" t="s">
        <v>1181</v>
      </c>
    </row>
    <row r="385" spans="1:7" hidden="1" x14ac:dyDescent="0.3">
      <c r="A385" t="s">
        <v>453</v>
      </c>
      <c r="B385" t="s">
        <v>1282</v>
      </c>
      <c r="C385" t="s">
        <v>1251</v>
      </c>
      <c r="D385" t="s">
        <v>1170</v>
      </c>
    </row>
    <row r="386" spans="1:7" hidden="1" x14ac:dyDescent="0.3">
      <c r="A386" t="s">
        <v>453</v>
      </c>
      <c r="B386" t="s">
        <v>1282</v>
      </c>
      <c r="C386" t="s">
        <v>1251</v>
      </c>
      <c r="D386" t="s">
        <v>1171</v>
      </c>
    </row>
    <row r="387" spans="1:7" hidden="1" x14ac:dyDescent="0.3">
      <c r="A387" t="s">
        <v>453</v>
      </c>
      <c r="B387" t="s">
        <v>1282</v>
      </c>
      <c r="C387" t="s">
        <v>1251</v>
      </c>
      <c r="D387" t="s">
        <v>1172</v>
      </c>
    </row>
    <row r="388" spans="1:7" hidden="1" x14ac:dyDescent="0.3">
      <c r="A388" t="s">
        <v>453</v>
      </c>
      <c r="B388" t="s">
        <v>1282</v>
      </c>
      <c r="C388" t="s">
        <v>1251</v>
      </c>
      <c r="D388" t="s">
        <v>1173</v>
      </c>
    </row>
    <row r="389" spans="1:7" hidden="1" x14ac:dyDescent="0.3">
      <c r="A389" t="s">
        <v>453</v>
      </c>
      <c r="B389" t="s">
        <v>1282</v>
      </c>
      <c r="C389" t="s">
        <v>1251</v>
      </c>
      <c r="D389" t="s">
        <v>1174</v>
      </c>
    </row>
    <row r="390" spans="1:7" hidden="1" x14ac:dyDescent="0.3">
      <c r="A390" t="s">
        <v>453</v>
      </c>
      <c r="B390" t="s">
        <v>1282</v>
      </c>
      <c r="C390" t="s">
        <v>1251</v>
      </c>
      <c r="D390" t="s">
        <v>1175</v>
      </c>
    </row>
    <row r="391" spans="1:7" hidden="1" x14ac:dyDescent="0.3">
      <c r="A391" t="s">
        <v>453</v>
      </c>
      <c r="B391" t="s">
        <v>1282</v>
      </c>
      <c r="C391" t="s">
        <v>1251</v>
      </c>
      <c r="D391" t="s">
        <v>1176</v>
      </c>
    </row>
    <row r="392" spans="1:7" hidden="1" x14ac:dyDescent="0.3">
      <c r="A392" t="s">
        <v>453</v>
      </c>
      <c r="B392" t="s">
        <v>1282</v>
      </c>
      <c r="C392" t="s">
        <v>1251</v>
      </c>
      <c r="D392" t="s">
        <v>1177</v>
      </c>
    </row>
    <row r="393" spans="1:7" hidden="1" x14ac:dyDescent="0.3">
      <c r="A393" t="s">
        <v>453</v>
      </c>
      <c r="B393" t="s">
        <v>1282</v>
      </c>
      <c r="C393" t="s">
        <v>1251</v>
      </c>
      <c r="D393" t="s">
        <v>1178</v>
      </c>
    </row>
    <row r="394" spans="1:7" hidden="1" x14ac:dyDescent="0.3">
      <c r="A394" t="s">
        <v>453</v>
      </c>
      <c r="B394" t="s">
        <v>1282</v>
      </c>
      <c r="C394" t="s">
        <v>1251</v>
      </c>
      <c r="D394" t="s">
        <v>1179</v>
      </c>
    </row>
    <row r="395" spans="1:7" hidden="1" x14ac:dyDescent="0.3">
      <c r="A395" t="s">
        <v>453</v>
      </c>
      <c r="B395" t="s">
        <v>1282</v>
      </c>
      <c r="C395" t="s">
        <v>1251</v>
      </c>
      <c r="D395" t="s">
        <v>1180</v>
      </c>
    </row>
    <row r="396" spans="1:7" hidden="1" x14ac:dyDescent="0.3">
      <c r="A396" t="s">
        <v>453</v>
      </c>
      <c r="B396" t="s">
        <v>1282</v>
      </c>
      <c r="C396" t="s">
        <v>1251</v>
      </c>
      <c r="D396" t="s">
        <v>1181</v>
      </c>
    </row>
    <row r="397" spans="1:7" x14ac:dyDescent="0.3">
      <c r="A397" t="s">
        <v>453</v>
      </c>
      <c r="B397" t="s">
        <v>1283</v>
      </c>
      <c r="C397" t="s">
        <v>54</v>
      </c>
      <c r="D397" t="s">
        <v>1170</v>
      </c>
      <c r="E397" s="377">
        <v>53.802525491262102</v>
      </c>
      <c r="F397" s="377">
        <v>53.802525491262102</v>
      </c>
      <c r="G397" s="377">
        <v>0</v>
      </c>
    </row>
    <row r="398" spans="1:7" x14ac:dyDescent="0.3">
      <c r="A398" t="s">
        <v>453</v>
      </c>
      <c r="B398" t="s">
        <v>1283</v>
      </c>
      <c r="C398" t="s">
        <v>54</v>
      </c>
      <c r="D398" t="s">
        <v>1171</v>
      </c>
      <c r="E398" s="377">
        <v>51.016859182397397</v>
      </c>
      <c r="F398" s="377">
        <v>51.016859182397397</v>
      </c>
      <c r="G398" s="377">
        <v>0</v>
      </c>
    </row>
    <row r="399" spans="1:7" x14ac:dyDescent="0.3">
      <c r="A399" t="s">
        <v>453</v>
      </c>
      <c r="B399" t="s">
        <v>1283</v>
      </c>
      <c r="C399" t="s">
        <v>54</v>
      </c>
      <c r="D399" t="s">
        <v>1172</v>
      </c>
      <c r="E399" s="377">
        <v>51.0432727382438</v>
      </c>
      <c r="F399" s="377">
        <v>51.0432727382438</v>
      </c>
      <c r="G399" s="377">
        <v>0</v>
      </c>
    </row>
    <row r="400" spans="1:7" x14ac:dyDescent="0.3">
      <c r="A400" t="s">
        <v>453</v>
      </c>
      <c r="B400" t="s">
        <v>1283</v>
      </c>
      <c r="C400" t="s">
        <v>54</v>
      </c>
      <c r="D400" t="s">
        <v>1173</v>
      </c>
      <c r="E400" s="377">
        <v>54.076324613270302</v>
      </c>
      <c r="F400" s="377">
        <v>54.076324613270302</v>
      </c>
      <c r="G400" s="377">
        <v>0</v>
      </c>
    </row>
    <row r="401" spans="1:7" x14ac:dyDescent="0.3">
      <c r="A401" t="s">
        <v>453</v>
      </c>
      <c r="B401" t="s">
        <v>1283</v>
      </c>
      <c r="C401" t="s">
        <v>54</v>
      </c>
      <c r="D401" t="s">
        <v>1174</v>
      </c>
      <c r="E401" s="377">
        <v>101.801149630064</v>
      </c>
      <c r="F401" s="377">
        <v>101.801149630064</v>
      </c>
      <c r="G401" s="377">
        <v>0</v>
      </c>
    </row>
    <row r="402" spans="1:7" x14ac:dyDescent="0.3">
      <c r="A402" t="s">
        <v>453</v>
      </c>
      <c r="B402" t="s">
        <v>1283</v>
      </c>
      <c r="C402" t="s">
        <v>54</v>
      </c>
      <c r="D402" t="s">
        <v>1175</v>
      </c>
      <c r="E402" s="377">
        <v>53.5126202114431</v>
      </c>
      <c r="F402" s="377">
        <v>53.5126202114431</v>
      </c>
      <c r="G402" s="377">
        <v>0</v>
      </c>
    </row>
    <row r="403" spans="1:7" x14ac:dyDescent="0.3">
      <c r="A403" t="s">
        <v>453</v>
      </c>
      <c r="B403" t="s">
        <v>1283</v>
      </c>
      <c r="C403" t="s">
        <v>54</v>
      </c>
      <c r="D403" t="s">
        <v>1176</v>
      </c>
      <c r="E403" s="377">
        <v>52.819424759425999</v>
      </c>
      <c r="F403" s="377">
        <v>52.819424759425999</v>
      </c>
      <c r="G403" s="377">
        <v>0</v>
      </c>
    </row>
    <row r="404" spans="1:7" x14ac:dyDescent="0.3">
      <c r="A404" t="s">
        <v>453</v>
      </c>
      <c r="B404" t="s">
        <v>1283</v>
      </c>
      <c r="C404" t="s">
        <v>54</v>
      </c>
      <c r="D404" t="s">
        <v>1177</v>
      </c>
      <c r="E404" s="377">
        <v>60.411717944912198</v>
      </c>
      <c r="F404" s="377">
        <v>60.411717944912198</v>
      </c>
      <c r="G404" s="377">
        <v>0</v>
      </c>
    </row>
    <row r="405" spans="1:7" x14ac:dyDescent="0.3">
      <c r="A405" t="s">
        <v>453</v>
      </c>
      <c r="B405" t="s">
        <v>1283</v>
      </c>
      <c r="C405" t="s">
        <v>54</v>
      </c>
      <c r="D405" t="s">
        <v>1178</v>
      </c>
      <c r="E405" s="377">
        <v>75.252283205482996</v>
      </c>
      <c r="F405" s="377">
        <v>75.252283205482996</v>
      </c>
      <c r="G405" s="377">
        <v>0</v>
      </c>
    </row>
    <row r="406" spans="1:7" x14ac:dyDescent="0.3">
      <c r="A406" t="s">
        <v>453</v>
      </c>
      <c r="B406" t="s">
        <v>1283</v>
      </c>
      <c r="C406" t="s">
        <v>54</v>
      </c>
      <c r="D406" t="s">
        <v>1179</v>
      </c>
      <c r="E406" s="377">
        <v>122.32385545277999</v>
      </c>
      <c r="F406" s="377">
        <v>122.32385545277999</v>
      </c>
      <c r="G406" s="377">
        <v>0</v>
      </c>
    </row>
    <row r="407" spans="1:7" x14ac:dyDescent="0.3">
      <c r="A407" t="s">
        <v>453</v>
      </c>
      <c r="B407" t="s">
        <v>1283</v>
      </c>
      <c r="C407" t="s">
        <v>54</v>
      </c>
      <c r="D407" t="s">
        <v>1180</v>
      </c>
      <c r="E407" s="377">
        <v>84.994383677483</v>
      </c>
      <c r="F407" s="377">
        <v>84.994383677483</v>
      </c>
      <c r="G407" s="377">
        <v>0</v>
      </c>
    </row>
    <row r="408" spans="1:7" x14ac:dyDescent="0.3">
      <c r="A408" t="s">
        <v>453</v>
      </c>
      <c r="B408" t="s">
        <v>1283</v>
      </c>
      <c r="C408" t="s">
        <v>54</v>
      </c>
      <c r="D408" t="s">
        <v>1181</v>
      </c>
      <c r="E408" s="377">
        <v>119.500179912061</v>
      </c>
      <c r="F408" s="377">
        <v>119.500179912061</v>
      </c>
      <c r="G408" s="377">
        <v>0</v>
      </c>
    </row>
    <row r="409" spans="1:7" hidden="1" x14ac:dyDescent="0.3">
      <c r="A409" t="s">
        <v>453</v>
      </c>
      <c r="B409" t="s">
        <v>1284</v>
      </c>
      <c r="C409" t="s">
        <v>1169</v>
      </c>
      <c r="D409" t="s">
        <v>1170</v>
      </c>
    </row>
    <row r="410" spans="1:7" hidden="1" x14ac:dyDescent="0.3">
      <c r="A410" t="s">
        <v>453</v>
      </c>
      <c r="B410" t="s">
        <v>1284</v>
      </c>
      <c r="C410" t="s">
        <v>1169</v>
      </c>
      <c r="D410" t="s">
        <v>1171</v>
      </c>
    </row>
    <row r="411" spans="1:7" hidden="1" x14ac:dyDescent="0.3">
      <c r="A411" t="s">
        <v>453</v>
      </c>
      <c r="B411" t="s">
        <v>1284</v>
      </c>
      <c r="C411" t="s">
        <v>1169</v>
      </c>
      <c r="D411" t="s">
        <v>1172</v>
      </c>
    </row>
    <row r="412" spans="1:7" hidden="1" x14ac:dyDescent="0.3">
      <c r="A412" t="s">
        <v>453</v>
      </c>
      <c r="B412" t="s">
        <v>1284</v>
      </c>
      <c r="C412" t="s">
        <v>1169</v>
      </c>
      <c r="D412" t="s">
        <v>1173</v>
      </c>
    </row>
    <row r="413" spans="1:7" hidden="1" x14ac:dyDescent="0.3">
      <c r="A413" t="s">
        <v>453</v>
      </c>
      <c r="B413" t="s">
        <v>1284</v>
      </c>
      <c r="C413" t="s">
        <v>1169</v>
      </c>
      <c r="D413" t="s">
        <v>1174</v>
      </c>
    </row>
    <row r="414" spans="1:7" hidden="1" x14ac:dyDescent="0.3">
      <c r="A414" t="s">
        <v>453</v>
      </c>
      <c r="B414" t="s">
        <v>1284</v>
      </c>
      <c r="C414" t="s">
        <v>1169</v>
      </c>
      <c r="D414" t="s">
        <v>1175</v>
      </c>
    </row>
    <row r="415" spans="1:7" hidden="1" x14ac:dyDescent="0.3">
      <c r="A415" t="s">
        <v>453</v>
      </c>
      <c r="B415" t="s">
        <v>1284</v>
      </c>
      <c r="C415" t="s">
        <v>1169</v>
      </c>
      <c r="D415" t="s">
        <v>1176</v>
      </c>
    </row>
    <row r="416" spans="1:7" hidden="1" x14ac:dyDescent="0.3">
      <c r="A416" t="s">
        <v>453</v>
      </c>
      <c r="B416" t="s">
        <v>1284</v>
      </c>
      <c r="C416" t="s">
        <v>1169</v>
      </c>
      <c r="D416" t="s">
        <v>1177</v>
      </c>
    </row>
    <row r="417" spans="1:4" hidden="1" x14ac:dyDescent="0.3">
      <c r="A417" t="s">
        <v>453</v>
      </c>
      <c r="B417" t="s">
        <v>1284</v>
      </c>
      <c r="C417" t="s">
        <v>1169</v>
      </c>
      <c r="D417" t="s">
        <v>1178</v>
      </c>
    </row>
    <row r="418" spans="1:4" hidden="1" x14ac:dyDescent="0.3">
      <c r="A418" t="s">
        <v>453</v>
      </c>
      <c r="B418" t="s">
        <v>1284</v>
      </c>
      <c r="C418" t="s">
        <v>1169</v>
      </c>
      <c r="D418" t="s">
        <v>1179</v>
      </c>
    </row>
    <row r="419" spans="1:4" hidden="1" x14ac:dyDescent="0.3">
      <c r="A419" t="s">
        <v>453</v>
      </c>
      <c r="B419" t="s">
        <v>1284</v>
      </c>
      <c r="C419" t="s">
        <v>1169</v>
      </c>
      <c r="D419" t="s">
        <v>1180</v>
      </c>
    </row>
    <row r="420" spans="1:4" hidden="1" x14ac:dyDescent="0.3">
      <c r="A420" t="s">
        <v>453</v>
      </c>
      <c r="B420" t="s">
        <v>1284</v>
      </c>
      <c r="C420" t="s">
        <v>1169</v>
      </c>
      <c r="D420" t="s">
        <v>1181</v>
      </c>
    </row>
    <row r="421" spans="1:4" hidden="1" x14ac:dyDescent="0.3">
      <c r="A421" t="s">
        <v>453</v>
      </c>
      <c r="B421" t="s">
        <v>1285</v>
      </c>
      <c r="C421" t="s">
        <v>1169</v>
      </c>
      <c r="D421" t="s">
        <v>1170</v>
      </c>
    </row>
    <row r="422" spans="1:4" hidden="1" x14ac:dyDescent="0.3">
      <c r="A422" t="s">
        <v>453</v>
      </c>
      <c r="B422" t="s">
        <v>1285</v>
      </c>
      <c r="C422" t="s">
        <v>1169</v>
      </c>
      <c r="D422" t="s">
        <v>1171</v>
      </c>
    </row>
    <row r="423" spans="1:4" hidden="1" x14ac:dyDescent="0.3">
      <c r="A423" t="s">
        <v>453</v>
      </c>
      <c r="B423" t="s">
        <v>1285</v>
      </c>
      <c r="C423" t="s">
        <v>1169</v>
      </c>
      <c r="D423" t="s">
        <v>1172</v>
      </c>
    </row>
    <row r="424" spans="1:4" hidden="1" x14ac:dyDescent="0.3">
      <c r="A424" t="s">
        <v>453</v>
      </c>
      <c r="B424" t="s">
        <v>1285</v>
      </c>
      <c r="C424" t="s">
        <v>1169</v>
      </c>
      <c r="D424" t="s">
        <v>1173</v>
      </c>
    </row>
    <row r="425" spans="1:4" hidden="1" x14ac:dyDescent="0.3">
      <c r="A425" t="s">
        <v>453</v>
      </c>
      <c r="B425" t="s">
        <v>1285</v>
      </c>
      <c r="C425" t="s">
        <v>1169</v>
      </c>
      <c r="D425" t="s">
        <v>1174</v>
      </c>
    </row>
    <row r="426" spans="1:4" hidden="1" x14ac:dyDescent="0.3">
      <c r="A426" t="s">
        <v>453</v>
      </c>
      <c r="B426" t="s">
        <v>1285</v>
      </c>
      <c r="C426" t="s">
        <v>1169</v>
      </c>
      <c r="D426" t="s">
        <v>1175</v>
      </c>
    </row>
    <row r="427" spans="1:4" hidden="1" x14ac:dyDescent="0.3">
      <c r="A427" t="s">
        <v>453</v>
      </c>
      <c r="B427" t="s">
        <v>1285</v>
      </c>
      <c r="C427" t="s">
        <v>1169</v>
      </c>
      <c r="D427" t="s">
        <v>1176</v>
      </c>
    </row>
    <row r="428" spans="1:4" hidden="1" x14ac:dyDescent="0.3">
      <c r="A428" t="s">
        <v>453</v>
      </c>
      <c r="B428" t="s">
        <v>1285</v>
      </c>
      <c r="C428" t="s">
        <v>1169</v>
      </c>
      <c r="D428" t="s">
        <v>1177</v>
      </c>
    </row>
    <row r="429" spans="1:4" hidden="1" x14ac:dyDescent="0.3">
      <c r="A429" t="s">
        <v>453</v>
      </c>
      <c r="B429" t="s">
        <v>1285</v>
      </c>
      <c r="C429" t="s">
        <v>1169</v>
      </c>
      <c r="D429" t="s">
        <v>1178</v>
      </c>
    </row>
    <row r="430" spans="1:4" hidden="1" x14ac:dyDescent="0.3">
      <c r="A430" t="s">
        <v>453</v>
      </c>
      <c r="B430" t="s">
        <v>1285</v>
      </c>
      <c r="C430" t="s">
        <v>1169</v>
      </c>
      <c r="D430" t="s">
        <v>1179</v>
      </c>
    </row>
    <row r="431" spans="1:4" hidden="1" x14ac:dyDescent="0.3">
      <c r="A431" t="s">
        <v>453</v>
      </c>
      <c r="B431" t="s">
        <v>1285</v>
      </c>
      <c r="C431" t="s">
        <v>1169</v>
      </c>
      <c r="D431" t="s">
        <v>1180</v>
      </c>
    </row>
    <row r="432" spans="1:4" hidden="1" x14ac:dyDescent="0.3">
      <c r="A432" t="s">
        <v>453</v>
      </c>
      <c r="B432" t="s">
        <v>1285</v>
      </c>
      <c r="C432" t="s">
        <v>1169</v>
      </c>
      <c r="D432" t="s">
        <v>1181</v>
      </c>
    </row>
    <row r="433" spans="1:4" hidden="1" x14ac:dyDescent="0.3">
      <c r="A433" t="s">
        <v>453</v>
      </c>
      <c r="B433" t="s">
        <v>1286</v>
      </c>
      <c r="C433" t="s">
        <v>61</v>
      </c>
      <c r="D433" t="s">
        <v>1170</v>
      </c>
    </row>
    <row r="434" spans="1:4" hidden="1" x14ac:dyDescent="0.3">
      <c r="A434" t="s">
        <v>453</v>
      </c>
      <c r="B434" t="s">
        <v>1286</v>
      </c>
      <c r="C434" t="s">
        <v>61</v>
      </c>
      <c r="D434" t="s">
        <v>1171</v>
      </c>
    </row>
    <row r="435" spans="1:4" hidden="1" x14ac:dyDescent="0.3">
      <c r="A435" t="s">
        <v>453</v>
      </c>
      <c r="B435" t="s">
        <v>1286</v>
      </c>
      <c r="C435" t="s">
        <v>61</v>
      </c>
      <c r="D435" t="s">
        <v>1172</v>
      </c>
    </row>
    <row r="436" spans="1:4" hidden="1" x14ac:dyDescent="0.3">
      <c r="A436" t="s">
        <v>453</v>
      </c>
      <c r="B436" t="s">
        <v>1286</v>
      </c>
      <c r="C436" t="s">
        <v>61</v>
      </c>
      <c r="D436" t="s">
        <v>1173</v>
      </c>
    </row>
    <row r="437" spans="1:4" hidden="1" x14ac:dyDescent="0.3">
      <c r="A437" t="s">
        <v>453</v>
      </c>
      <c r="B437" t="s">
        <v>1286</v>
      </c>
      <c r="C437" t="s">
        <v>61</v>
      </c>
      <c r="D437" t="s">
        <v>1174</v>
      </c>
    </row>
    <row r="438" spans="1:4" hidden="1" x14ac:dyDescent="0.3">
      <c r="A438" t="s">
        <v>453</v>
      </c>
      <c r="B438" t="s">
        <v>1286</v>
      </c>
      <c r="C438" t="s">
        <v>61</v>
      </c>
      <c r="D438" t="s">
        <v>1175</v>
      </c>
    </row>
    <row r="439" spans="1:4" hidden="1" x14ac:dyDescent="0.3">
      <c r="A439" t="s">
        <v>453</v>
      </c>
      <c r="B439" t="s">
        <v>1286</v>
      </c>
      <c r="C439" t="s">
        <v>61</v>
      </c>
      <c r="D439" t="s">
        <v>1176</v>
      </c>
    </row>
    <row r="440" spans="1:4" hidden="1" x14ac:dyDescent="0.3">
      <c r="A440" t="s">
        <v>453</v>
      </c>
      <c r="B440" t="s">
        <v>1286</v>
      </c>
      <c r="C440" t="s">
        <v>61</v>
      </c>
      <c r="D440" t="s">
        <v>1177</v>
      </c>
    </row>
    <row r="441" spans="1:4" hidden="1" x14ac:dyDescent="0.3">
      <c r="A441" t="s">
        <v>453</v>
      </c>
      <c r="B441" t="s">
        <v>1286</v>
      </c>
      <c r="C441" t="s">
        <v>61</v>
      </c>
      <c r="D441" t="s">
        <v>1178</v>
      </c>
    </row>
    <row r="442" spans="1:4" hidden="1" x14ac:dyDescent="0.3">
      <c r="A442" t="s">
        <v>453</v>
      </c>
      <c r="B442" t="s">
        <v>1286</v>
      </c>
      <c r="C442" t="s">
        <v>61</v>
      </c>
      <c r="D442" t="s">
        <v>1179</v>
      </c>
    </row>
    <row r="443" spans="1:4" hidden="1" x14ac:dyDescent="0.3">
      <c r="A443" t="s">
        <v>453</v>
      </c>
      <c r="B443" t="s">
        <v>1286</v>
      </c>
      <c r="C443" t="s">
        <v>61</v>
      </c>
      <c r="D443" t="s">
        <v>1180</v>
      </c>
    </row>
    <row r="444" spans="1:4" hidden="1" x14ac:dyDescent="0.3">
      <c r="A444" t="s">
        <v>453</v>
      </c>
      <c r="B444" t="s">
        <v>1286</v>
      </c>
      <c r="C444" t="s">
        <v>61</v>
      </c>
      <c r="D444" t="s">
        <v>1181</v>
      </c>
    </row>
    <row r="445" spans="1:4" hidden="1" x14ac:dyDescent="0.3">
      <c r="A445" t="s">
        <v>453</v>
      </c>
      <c r="B445" t="s">
        <v>1287</v>
      </c>
      <c r="C445" t="s">
        <v>61</v>
      </c>
      <c r="D445" t="s">
        <v>1170</v>
      </c>
    </row>
    <row r="446" spans="1:4" hidden="1" x14ac:dyDescent="0.3">
      <c r="A446" t="s">
        <v>453</v>
      </c>
      <c r="B446" t="s">
        <v>1287</v>
      </c>
      <c r="C446" t="s">
        <v>61</v>
      </c>
      <c r="D446" t="s">
        <v>1171</v>
      </c>
    </row>
    <row r="447" spans="1:4" hidden="1" x14ac:dyDescent="0.3">
      <c r="A447" t="s">
        <v>453</v>
      </c>
      <c r="B447" t="s">
        <v>1287</v>
      </c>
      <c r="C447" t="s">
        <v>61</v>
      </c>
      <c r="D447" t="s">
        <v>1172</v>
      </c>
    </row>
    <row r="448" spans="1:4" hidden="1" x14ac:dyDescent="0.3">
      <c r="A448" t="s">
        <v>453</v>
      </c>
      <c r="B448" t="s">
        <v>1287</v>
      </c>
      <c r="C448" t="s">
        <v>61</v>
      </c>
      <c r="D448" t="s">
        <v>1173</v>
      </c>
    </row>
    <row r="449" spans="1:4" hidden="1" x14ac:dyDescent="0.3">
      <c r="A449" t="s">
        <v>453</v>
      </c>
      <c r="B449" t="s">
        <v>1287</v>
      </c>
      <c r="C449" t="s">
        <v>61</v>
      </c>
      <c r="D449" t="s">
        <v>1174</v>
      </c>
    </row>
    <row r="450" spans="1:4" hidden="1" x14ac:dyDescent="0.3">
      <c r="A450" t="s">
        <v>453</v>
      </c>
      <c r="B450" t="s">
        <v>1287</v>
      </c>
      <c r="C450" t="s">
        <v>61</v>
      </c>
      <c r="D450" t="s">
        <v>1175</v>
      </c>
    </row>
    <row r="451" spans="1:4" hidden="1" x14ac:dyDescent="0.3">
      <c r="A451" t="s">
        <v>453</v>
      </c>
      <c r="B451" t="s">
        <v>1287</v>
      </c>
      <c r="C451" t="s">
        <v>61</v>
      </c>
      <c r="D451" t="s">
        <v>1176</v>
      </c>
    </row>
    <row r="452" spans="1:4" hidden="1" x14ac:dyDescent="0.3">
      <c r="A452" t="s">
        <v>453</v>
      </c>
      <c r="B452" t="s">
        <v>1287</v>
      </c>
      <c r="C452" t="s">
        <v>61</v>
      </c>
      <c r="D452" t="s">
        <v>1177</v>
      </c>
    </row>
    <row r="453" spans="1:4" hidden="1" x14ac:dyDescent="0.3">
      <c r="A453" t="s">
        <v>453</v>
      </c>
      <c r="B453" t="s">
        <v>1287</v>
      </c>
      <c r="C453" t="s">
        <v>61</v>
      </c>
      <c r="D453" t="s">
        <v>1178</v>
      </c>
    </row>
    <row r="454" spans="1:4" hidden="1" x14ac:dyDescent="0.3">
      <c r="A454" t="s">
        <v>453</v>
      </c>
      <c r="B454" t="s">
        <v>1287</v>
      </c>
      <c r="C454" t="s">
        <v>61</v>
      </c>
      <c r="D454" t="s">
        <v>1179</v>
      </c>
    </row>
    <row r="455" spans="1:4" hidden="1" x14ac:dyDescent="0.3">
      <c r="A455" t="s">
        <v>453</v>
      </c>
      <c r="B455" t="s">
        <v>1287</v>
      </c>
      <c r="C455" t="s">
        <v>61</v>
      </c>
      <c r="D455" t="s">
        <v>1180</v>
      </c>
    </row>
    <row r="456" spans="1:4" hidden="1" x14ac:dyDescent="0.3">
      <c r="A456" t="s">
        <v>453</v>
      </c>
      <c r="B456" t="s">
        <v>1287</v>
      </c>
      <c r="C456" t="s">
        <v>61</v>
      </c>
      <c r="D456" t="s">
        <v>1181</v>
      </c>
    </row>
    <row r="457" spans="1:4" hidden="1" x14ac:dyDescent="0.3">
      <c r="A457" t="s">
        <v>453</v>
      </c>
      <c r="B457" t="s">
        <v>1288</v>
      </c>
      <c r="C457" t="s">
        <v>61</v>
      </c>
      <c r="D457" t="s">
        <v>1170</v>
      </c>
    </row>
    <row r="458" spans="1:4" hidden="1" x14ac:dyDescent="0.3">
      <c r="A458" t="s">
        <v>453</v>
      </c>
      <c r="B458" t="s">
        <v>1288</v>
      </c>
      <c r="C458" t="s">
        <v>61</v>
      </c>
      <c r="D458" t="s">
        <v>1171</v>
      </c>
    </row>
    <row r="459" spans="1:4" hidden="1" x14ac:dyDescent="0.3">
      <c r="A459" t="s">
        <v>453</v>
      </c>
      <c r="B459" t="s">
        <v>1288</v>
      </c>
      <c r="C459" t="s">
        <v>61</v>
      </c>
      <c r="D459" t="s">
        <v>1172</v>
      </c>
    </row>
    <row r="460" spans="1:4" hidden="1" x14ac:dyDescent="0.3">
      <c r="A460" t="s">
        <v>453</v>
      </c>
      <c r="B460" t="s">
        <v>1288</v>
      </c>
      <c r="C460" t="s">
        <v>61</v>
      </c>
      <c r="D460" t="s">
        <v>1173</v>
      </c>
    </row>
    <row r="461" spans="1:4" hidden="1" x14ac:dyDescent="0.3">
      <c r="A461" t="s">
        <v>453</v>
      </c>
      <c r="B461" t="s">
        <v>1288</v>
      </c>
      <c r="C461" t="s">
        <v>61</v>
      </c>
      <c r="D461" t="s">
        <v>1174</v>
      </c>
    </row>
    <row r="462" spans="1:4" hidden="1" x14ac:dyDescent="0.3">
      <c r="A462" t="s">
        <v>453</v>
      </c>
      <c r="B462" t="s">
        <v>1288</v>
      </c>
      <c r="C462" t="s">
        <v>61</v>
      </c>
      <c r="D462" t="s">
        <v>1175</v>
      </c>
    </row>
    <row r="463" spans="1:4" hidden="1" x14ac:dyDescent="0.3">
      <c r="A463" t="s">
        <v>453</v>
      </c>
      <c r="B463" t="s">
        <v>1288</v>
      </c>
      <c r="C463" t="s">
        <v>61</v>
      </c>
      <c r="D463" t="s">
        <v>1176</v>
      </c>
    </row>
    <row r="464" spans="1:4" hidden="1" x14ac:dyDescent="0.3">
      <c r="A464" t="s">
        <v>453</v>
      </c>
      <c r="B464" t="s">
        <v>1288</v>
      </c>
      <c r="C464" t="s">
        <v>61</v>
      </c>
      <c r="D464" t="s">
        <v>1177</v>
      </c>
    </row>
    <row r="465" spans="1:4" hidden="1" x14ac:dyDescent="0.3">
      <c r="A465" t="s">
        <v>453</v>
      </c>
      <c r="B465" t="s">
        <v>1288</v>
      </c>
      <c r="C465" t="s">
        <v>61</v>
      </c>
      <c r="D465" t="s">
        <v>1178</v>
      </c>
    </row>
    <row r="466" spans="1:4" hidden="1" x14ac:dyDescent="0.3">
      <c r="A466" t="s">
        <v>453</v>
      </c>
      <c r="B466" t="s">
        <v>1288</v>
      </c>
      <c r="C466" t="s">
        <v>61</v>
      </c>
      <c r="D466" t="s">
        <v>1179</v>
      </c>
    </row>
    <row r="467" spans="1:4" hidden="1" x14ac:dyDescent="0.3">
      <c r="A467" t="s">
        <v>453</v>
      </c>
      <c r="B467" t="s">
        <v>1288</v>
      </c>
      <c r="C467" t="s">
        <v>61</v>
      </c>
      <c r="D467" t="s">
        <v>1180</v>
      </c>
    </row>
    <row r="468" spans="1:4" hidden="1" x14ac:dyDescent="0.3">
      <c r="A468" t="s">
        <v>453</v>
      </c>
      <c r="B468" t="s">
        <v>1288</v>
      </c>
      <c r="C468" t="s">
        <v>61</v>
      </c>
      <c r="D468" t="s">
        <v>1181</v>
      </c>
    </row>
    <row r="469" spans="1:4" hidden="1" x14ac:dyDescent="0.3">
      <c r="A469" t="s">
        <v>502</v>
      </c>
      <c r="B469" t="s">
        <v>1289</v>
      </c>
      <c r="C469" t="s">
        <v>1169</v>
      </c>
      <c r="D469" t="s">
        <v>1170</v>
      </c>
    </row>
    <row r="470" spans="1:4" hidden="1" x14ac:dyDescent="0.3">
      <c r="A470" t="s">
        <v>502</v>
      </c>
      <c r="B470" t="s">
        <v>1289</v>
      </c>
      <c r="C470" t="s">
        <v>1169</v>
      </c>
      <c r="D470" t="s">
        <v>1171</v>
      </c>
    </row>
    <row r="471" spans="1:4" hidden="1" x14ac:dyDescent="0.3">
      <c r="A471" t="s">
        <v>502</v>
      </c>
      <c r="B471" t="s">
        <v>1289</v>
      </c>
      <c r="C471" t="s">
        <v>1169</v>
      </c>
      <c r="D471" t="s">
        <v>1172</v>
      </c>
    </row>
    <row r="472" spans="1:4" hidden="1" x14ac:dyDescent="0.3">
      <c r="A472" t="s">
        <v>502</v>
      </c>
      <c r="B472" t="s">
        <v>1289</v>
      </c>
      <c r="C472" t="s">
        <v>1169</v>
      </c>
      <c r="D472" t="s">
        <v>1173</v>
      </c>
    </row>
    <row r="473" spans="1:4" hidden="1" x14ac:dyDescent="0.3">
      <c r="A473" t="s">
        <v>502</v>
      </c>
      <c r="B473" t="s">
        <v>1289</v>
      </c>
      <c r="C473" t="s">
        <v>1169</v>
      </c>
      <c r="D473" t="s">
        <v>1174</v>
      </c>
    </row>
    <row r="474" spans="1:4" hidden="1" x14ac:dyDescent="0.3">
      <c r="A474" t="s">
        <v>502</v>
      </c>
      <c r="B474" t="s">
        <v>1289</v>
      </c>
      <c r="C474" t="s">
        <v>1169</v>
      </c>
      <c r="D474" t="s">
        <v>1175</v>
      </c>
    </row>
    <row r="475" spans="1:4" hidden="1" x14ac:dyDescent="0.3">
      <c r="A475" t="s">
        <v>502</v>
      </c>
      <c r="B475" t="s">
        <v>1289</v>
      </c>
      <c r="C475" t="s">
        <v>1169</v>
      </c>
      <c r="D475" t="s">
        <v>1176</v>
      </c>
    </row>
    <row r="476" spans="1:4" hidden="1" x14ac:dyDescent="0.3">
      <c r="A476" t="s">
        <v>502</v>
      </c>
      <c r="B476" t="s">
        <v>1289</v>
      </c>
      <c r="C476" t="s">
        <v>1169</v>
      </c>
      <c r="D476" t="s">
        <v>1177</v>
      </c>
    </row>
    <row r="477" spans="1:4" hidden="1" x14ac:dyDescent="0.3">
      <c r="A477" t="s">
        <v>502</v>
      </c>
      <c r="B477" t="s">
        <v>1289</v>
      </c>
      <c r="C477" t="s">
        <v>1169</v>
      </c>
      <c r="D477" t="s">
        <v>1178</v>
      </c>
    </row>
    <row r="478" spans="1:4" hidden="1" x14ac:dyDescent="0.3">
      <c r="A478" t="s">
        <v>502</v>
      </c>
      <c r="B478" t="s">
        <v>1289</v>
      </c>
      <c r="C478" t="s">
        <v>1169</v>
      </c>
      <c r="D478" t="s">
        <v>1179</v>
      </c>
    </row>
    <row r="479" spans="1:4" hidden="1" x14ac:dyDescent="0.3">
      <c r="A479" t="s">
        <v>502</v>
      </c>
      <c r="B479" t="s">
        <v>1289</v>
      </c>
      <c r="C479" t="s">
        <v>1169</v>
      </c>
      <c r="D479" t="s">
        <v>1180</v>
      </c>
    </row>
    <row r="480" spans="1:4" hidden="1" x14ac:dyDescent="0.3">
      <c r="A480" t="s">
        <v>502</v>
      </c>
      <c r="B480" t="s">
        <v>1289</v>
      </c>
      <c r="C480" t="s">
        <v>1169</v>
      </c>
      <c r="D480" t="s">
        <v>1181</v>
      </c>
    </row>
    <row r="481" spans="1:7" hidden="1" x14ac:dyDescent="0.3">
      <c r="A481" t="s">
        <v>502</v>
      </c>
      <c r="B481" t="s">
        <v>1290</v>
      </c>
      <c r="C481" t="s">
        <v>1251</v>
      </c>
      <c r="D481" t="s">
        <v>1170</v>
      </c>
    </row>
    <row r="482" spans="1:7" hidden="1" x14ac:dyDescent="0.3">
      <c r="A482" t="s">
        <v>502</v>
      </c>
      <c r="B482" t="s">
        <v>1290</v>
      </c>
      <c r="C482" t="s">
        <v>1251</v>
      </c>
      <c r="D482" t="s">
        <v>1171</v>
      </c>
    </row>
    <row r="483" spans="1:7" hidden="1" x14ac:dyDescent="0.3">
      <c r="A483" t="s">
        <v>502</v>
      </c>
      <c r="B483" t="s">
        <v>1290</v>
      </c>
      <c r="C483" t="s">
        <v>1251</v>
      </c>
      <c r="D483" t="s">
        <v>1172</v>
      </c>
    </row>
    <row r="484" spans="1:7" hidden="1" x14ac:dyDescent="0.3">
      <c r="A484" t="s">
        <v>502</v>
      </c>
      <c r="B484" t="s">
        <v>1290</v>
      </c>
      <c r="C484" t="s">
        <v>1251</v>
      </c>
      <c r="D484" t="s">
        <v>1173</v>
      </c>
    </row>
    <row r="485" spans="1:7" hidden="1" x14ac:dyDescent="0.3">
      <c r="A485" t="s">
        <v>502</v>
      </c>
      <c r="B485" t="s">
        <v>1290</v>
      </c>
      <c r="C485" t="s">
        <v>1251</v>
      </c>
      <c r="D485" t="s">
        <v>1174</v>
      </c>
    </row>
    <row r="486" spans="1:7" hidden="1" x14ac:dyDescent="0.3">
      <c r="A486" t="s">
        <v>502</v>
      </c>
      <c r="B486" t="s">
        <v>1290</v>
      </c>
      <c r="C486" t="s">
        <v>1251</v>
      </c>
      <c r="D486" t="s">
        <v>1175</v>
      </c>
    </row>
    <row r="487" spans="1:7" hidden="1" x14ac:dyDescent="0.3">
      <c r="A487" t="s">
        <v>502</v>
      </c>
      <c r="B487" t="s">
        <v>1290</v>
      </c>
      <c r="C487" t="s">
        <v>1251</v>
      </c>
      <c r="D487" t="s">
        <v>1176</v>
      </c>
    </row>
    <row r="488" spans="1:7" hidden="1" x14ac:dyDescent="0.3">
      <c r="A488" t="s">
        <v>502</v>
      </c>
      <c r="B488" t="s">
        <v>1290</v>
      </c>
      <c r="C488" t="s">
        <v>1251</v>
      </c>
      <c r="D488" t="s">
        <v>1177</v>
      </c>
    </row>
    <row r="489" spans="1:7" hidden="1" x14ac:dyDescent="0.3">
      <c r="A489" t="s">
        <v>502</v>
      </c>
      <c r="B489" t="s">
        <v>1290</v>
      </c>
      <c r="C489" t="s">
        <v>1251</v>
      </c>
      <c r="D489" t="s">
        <v>1178</v>
      </c>
    </row>
    <row r="490" spans="1:7" hidden="1" x14ac:dyDescent="0.3">
      <c r="A490" t="s">
        <v>502</v>
      </c>
      <c r="B490" t="s">
        <v>1290</v>
      </c>
      <c r="C490" t="s">
        <v>1251</v>
      </c>
      <c r="D490" t="s">
        <v>1179</v>
      </c>
    </row>
    <row r="491" spans="1:7" hidden="1" x14ac:dyDescent="0.3">
      <c r="A491" t="s">
        <v>502</v>
      </c>
      <c r="B491" t="s">
        <v>1290</v>
      </c>
      <c r="C491" t="s">
        <v>1251</v>
      </c>
      <c r="D491" t="s">
        <v>1180</v>
      </c>
    </row>
    <row r="492" spans="1:7" hidden="1" x14ac:dyDescent="0.3">
      <c r="A492" t="s">
        <v>502</v>
      </c>
      <c r="B492" t="s">
        <v>1290</v>
      </c>
      <c r="C492" t="s">
        <v>1251</v>
      </c>
      <c r="D492" t="s">
        <v>1181</v>
      </c>
    </row>
    <row r="493" spans="1:7" x14ac:dyDescent="0.3">
      <c r="A493" t="s">
        <v>502</v>
      </c>
      <c r="B493" t="s">
        <v>1291</v>
      </c>
      <c r="C493" t="s">
        <v>54</v>
      </c>
      <c r="D493" t="s">
        <v>1170</v>
      </c>
      <c r="E493" s="377">
        <v>29.711474946193</v>
      </c>
      <c r="F493" s="377">
        <v>29.711474946193</v>
      </c>
      <c r="G493" s="377">
        <v>0</v>
      </c>
    </row>
    <row r="494" spans="1:7" x14ac:dyDescent="0.3">
      <c r="A494" t="s">
        <v>502</v>
      </c>
      <c r="B494" t="s">
        <v>1291</v>
      </c>
      <c r="C494" t="s">
        <v>54</v>
      </c>
      <c r="D494" t="s">
        <v>1171</v>
      </c>
      <c r="E494" s="377">
        <v>28.173140936988698</v>
      </c>
      <c r="F494" s="377">
        <v>28.173140936988698</v>
      </c>
      <c r="G494" s="377">
        <v>0</v>
      </c>
    </row>
    <row r="495" spans="1:7" x14ac:dyDescent="0.3">
      <c r="A495" t="s">
        <v>502</v>
      </c>
      <c r="B495" t="s">
        <v>1291</v>
      </c>
      <c r="C495" t="s">
        <v>54</v>
      </c>
      <c r="D495" t="s">
        <v>1172</v>
      </c>
      <c r="E495" s="377">
        <v>28.187727347117399</v>
      </c>
      <c r="F495" s="377">
        <v>28.187727347117399</v>
      </c>
      <c r="G495" s="377">
        <v>0</v>
      </c>
    </row>
    <row r="496" spans="1:7" x14ac:dyDescent="0.3">
      <c r="A496" t="s">
        <v>502</v>
      </c>
      <c r="B496" t="s">
        <v>1291</v>
      </c>
      <c r="C496" t="s">
        <v>54</v>
      </c>
      <c r="D496" t="s">
        <v>1173</v>
      </c>
      <c r="E496" s="377">
        <v>29.862675576266799</v>
      </c>
      <c r="F496" s="377">
        <v>29.862675576266799</v>
      </c>
      <c r="G496" s="377">
        <v>0</v>
      </c>
    </row>
    <row r="497" spans="1:7" x14ac:dyDescent="0.3">
      <c r="A497" t="s">
        <v>502</v>
      </c>
      <c r="B497" t="s">
        <v>1291</v>
      </c>
      <c r="C497" t="s">
        <v>54</v>
      </c>
      <c r="D497" t="s">
        <v>1174</v>
      </c>
      <c r="E497" s="377">
        <v>56.217849982126701</v>
      </c>
      <c r="F497" s="377">
        <v>56.217849982126701</v>
      </c>
      <c r="G497" s="377">
        <v>0</v>
      </c>
    </row>
    <row r="498" spans="1:7" x14ac:dyDescent="0.3">
      <c r="A498" t="s">
        <v>502</v>
      </c>
      <c r="B498" t="s">
        <v>1291</v>
      </c>
      <c r="C498" t="s">
        <v>54</v>
      </c>
      <c r="D498" t="s">
        <v>1175</v>
      </c>
      <c r="E498" s="377">
        <v>29.5513799807715</v>
      </c>
      <c r="F498" s="377">
        <v>29.5513799807715</v>
      </c>
      <c r="G498" s="377">
        <v>0</v>
      </c>
    </row>
    <row r="499" spans="1:7" x14ac:dyDescent="0.3">
      <c r="A499" t="s">
        <v>502</v>
      </c>
      <c r="B499" t="s">
        <v>1291</v>
      </c>
      <c r="C499" t="s">
        <v>54</v>
      </c>
      <c r="D499" t="s">
        <v>1176</v>
      </c>
      <c r="E499" s="377">
        <v>29.168575286802898</v>
      </c>
      <c r="F499" s="377">
        <v>29.168575286802898</v>
      </c>
      <c r="G499" s="377">
        <v>0</v>
      </c>
    </row>
    <row r="500" spans="1:7" x14ac:dyDescent="0.3">
      <c r="A500" t="s">
        <v>502</v>
      </c>
      <c r="B500" t="s">
        <v>1291</v>
      </c>
      <c r="C500" t="s">
        <v>54</v>
      </c>
      <c r="D500" t="s">
        <v>1177</v>
      </c>
      <c r="E500" s="377">
        <v>33.3612823522243</v>
      </c>
      <c r="F500" s="377">
        <v>33.3612823522243</v>
      </c>
      <c r="G500" s="377">
        <v>0</v>
      </c>
    </row>
    <row r="501" spans="1:7" x14ac:dyDescent="0.3">
      <c r="A501" t="s">
        <v>502</v>
      </c>
      <c r="B501" t="s">
        <v>1291</v>
      </c>
      <c r="C501" t="s">
        <v>54</v>
      </c>
      <c r="D501" t="s">
        <v>1178</v>
      </c>
      <c r="E501" s="377">
        <v>41.5567170256097</v>
      </c>
      <c r="F501" s="377">
        <v>41.5567170256097</v>
      </c>
      <c r="G501" s="377">
        <v>0</v>
      </c>
    </row>
    <row r="502" spans="1:7" x14ac:dyDescent="0.3">
      <c r="A502" t="s">
        <v>502</v>
      </c>
      <c r="B502" t="s">
        <v>1291</v>
      </c>
      <c r="C502" t="s">
        <v>54</v>
      </c>
      <c r="D502" t="s">
        <v>1179</v>
      </c>
      <c r="E502" s="377">
        <v>67.551144363981379</v>
      </c>
      <c r="F502" s="377">
        <v>67.551144363981379</v>
      </c>
      <c r="G502" s="377">
        <v>0</v>
      </c>
    </row>
    <row r="503" spans="1:7" x14ac:dyDescent="0.3">
      <c r="A503" t="s">
        <v>502</v>
      </c>
      <c r="B503" t="s">
        <v>1291</v>
      </c>
      <c r="C503" t="s">
        <v>54</v>
      </c>
      <c r="D503" t="s">
        <v>1180</v>
      </c>
      <c r="E503" s="377">
        <v>46.936616416097102</v>
      </c>
      <c r="F503" s="377">
        <v>46.936616416097102</v>
      </c>
      <c r="G503" s="377">
        <v>0</v>
      </c>
    </row>
    <row r="504" spans="1:7" x14ac:dyDescent="0.3">
      <c r="A504" t="s">
        <v>502</v>
      </c>
      <c r="B504" t="s">
        <v>1291</v>
      </c>
      <c r="C504" t="s">
        <v>54</v>
      </c>
      <c r="D504" t="s">
        <v>1181</v>
      </c>
      <c r="E504" s="377">
        <v>65.991820441577602</v>
      </c>
      <c r="F504" s="377">
        <v>65.991820441577602</v>
      </c>
      <c r="G504" s="377">
        <v>0</v>
      </c>
    </row>
    <row r="505" spans="1:7" hidden="1" x14ac:dyDescent="0.3">
      <c r="A505" t="s">
        <v>502</v>
      </c>
      <c r="B505" t="s">
        <v>1292</v>
      </c>
      <c r="C505" t="s">
        <v>1169</v>
      </c>
      <c r="D505" t="s">
        <v>1170</v>
      </c>
    </row>
    <row r="506" spans="1:7" hidden="1" x14ac:dyDescent="0.3">
      <c r="A506" t="s">
        <v>502</v>
      </c>
      <c r="B506" t="s">
        <v>1292</v>
      </c>
      <c r="C506" t="s">
        <v>1169</v>
      </c>
      <c r="D506" t="s">
        <v>1171</v>
      </c>
    </row>
    <row r="507" spans="1:7" hidden="1" x14ac:dyDescent="0.3">
      <c r="A507" t="s">
        <v>502</v>
      </c>
      <c r="B507" t="s">
        <v>1292</v>
      </c>
      <c r="C507" t="s">
        <v>1169</v>
      </c>
      <c r="D507" t="s">
        <v>1172</v>
      </c>
    </row>
    <row r="508" spans="1:7" hidden="1" x14ac:dyDescent="0.3">
      <c r="A508" t="s">
        <v>502</v>
      </c>
      <c r="B508" t="s">
        <v>1292</v>
      </c>
      <c r="C508" t="s">
        <v>1169</v>
      </c>
      <c r="D508" t="s">
        <v>1173</v>
      </c>
    </row>
    <row r="509" spans="1:7" hidden="1" x14ac:dyDescent="0.3">
      <c r="A509" t="s">
        <v>502</v>
      </c>
      <c r="B509" t="s">
        <v>1292</v>
      </c>
      <c r="C509" t="s">
        <v>1169</v>
      </c>
      <c r="D509" t="s">
        <v>1174</v>
      </c>
    </row>
    <row r="510" spans="1:7" hidden="1" x14ac:dyDescent="0.3">
      <c r="A510" t="s">
        <v>502</v>
      </c>
      <c r="B510" t="s">
        <v>1292</v>
      </c>
      <c r="C510" t="s">
        <v>1169</v>
      </c>
      <c r="D510" t="s">
        <v>1175</v>
      </c>
    </row>
    <row r="511" spans="1:7" hidden="1" x14ac:dyDescent="0.3">
      <c r="A511" t="s">
        <v>502</v>
      </c>
      <c r="B511" t="s">
        <v>1293</v>
      </c>
      <c r="C511" t="s">
        <v>1169</v>
      </c>
      <c r="D511" t="s">
        <v>1170</v>
      </c>
    </row>
    <row r="512" spans="1:7" hidden="1" x14ac:dyDescent="0.3">
      <c r="A512" t="s">
        <v>502</v>
      </c>
      <c r="B512" t="s">
        <v>1293</v>
      </c>
      <c r="C512" t="s">
        <v>1169</v>
      </c>
      <c r="D512" t="s">
        <v>1171</v>
      </c>
    </row>
    <row r="513" spans="1:4" hidden="1" x14ac:dyDescent="0.3">
      <c r="A513" t="s">
        <v>502</v>
      </c>
      <c r="B513" t="s">
        <v>1293</v>
      </c>
      <c r="C513" t="s">
        <v>1169</v>
      </c>
      <c r="D513" t="s">
        <v>1172</v>
      </c>
    </row>
    <row r="514" spans="1:4" hidden="1" x14ac:dyDescent="0.3">
      <c r="A514" t="s">
        <v>502</v>
      </c>
      <c r="B514" t="s">
        <v>1293</v>
      </c>
      <c r="C514" t="s">
        <v>1169</v>
      </c>
      <c r="D514" t="s">
        <v>1173</v>
      </c>
    </row>
    <row r="515" spans="1:4" hidden="1" x14ac:dyDescent="0.3">
      <c r="A515" t="s">
        <v>502</v>
      </c>
      <c r="B515" t="s">
        <v>1293</v>
      </c>
      <c r="C515" t="s">
        <v>1169</v>
      </c>
      <c r="D515" t="s">
        <v>1174</v>
      </c>
    </row>
    <row r="516" spans="1:4" hidden="1" x14ac:dyDescent="0.3">
      <c r="A516" t="s">
        <v>502</v>
      </c>
      <c r="B516" t="s">
        <v>1293</v>
      </c>
      <c r="C516" t="s">
        <v>1169</v>
      </c>
      <c r="D516" t="s">
        <v>1175</v>
      </c>
    </row>
    <row r="517" spans="1:4" hidden="1" x14ac:dyDescent="0.3">
      <c r="A517" t="s">
        <v>502</v>
      </c>
      <c r="B517" t="s">
        <v>1293</v>
      </c>
      <c r="C517" t="s">
        <v>1169</v>
      </c>
      <c r="D517" t="s">
        <v>1176</v>
      </c>
    </row>
    <row r="518" spans="1:4" hidden="1" x14ac:dyDescent="0.3">
      <c r="A518" t="s">
        <v>502</v>
      </c>
      <c r="B518" t="s">
        <v>1293</v>
      </c>
      <c r="C518" t="s">
        <v>1169</v>
      </c>
      <c r="D518" t="s">
        <v>1177</v>
      </c>
    </row>
    <row r="519" spans="1:4" hidden="1" x14ac:dyDescent="0.3">
      <c r="A519" t="s">
        <v>502</v>
      </c>
      <c r="B519" t="s">
        <v>1293</v>
      </c>
      <c r="C519" t="s">
        <v>1169</v>
      </c>
      <c r="D519" t="s">
        <v>1178</v>
      </c>
    </row>
    <row r="520" spans="1:4" hidden="1" x14ac:dyDescent="0.3">
      <c r="A520" t="s">
        <v>502</v>
      </c>
      <c r="B520" t="s">
        <v>1293</v>
      </c>
      <c r="C520" t="s">
        <v>1169</v>
      </c>
      <c r="D520" t="s">
        <v>1179</v>
      </c>
    </row>
    <row r="521" spans="1:4" hidden="1" x14ac:dyDescent="0.3">
      <c r="A521" t="s">
        <v>502</v>
      </c>
      <c r="B521" t="s">
        <v>1293</v>
      </c>
      <c r="C521" t="s">
        <v>1169</v>
      </c>
      <c r="D521" t="s">
        <v>1180</v>
      </c>
    </row>
    <row r="522" spans="1:4" hidden="1" x14ac:dyDescent="0.3">
      <c r="A522" t="s">
        <v>502</v>
      </c>
      <c r="B522" t="s">
        <v>1293</v>
      </c>
      <c r="C522" t="s">
        <v>1169</v>
      </c>
      <c r="D522" t="s">
        <v>1181</v>
      </c>
    </row>
    <row r="523" spans="1:4" hidden="1" x14ac:dyDescent="0.3">
      <c r="A523" t="s">
        <v>502</v>
      </c>
      <c r="B523" t="s">
        <v>1294</v>
      </c>
      <c r="C523" t="s">
        <v>1169</v>
      </c>
      <c r="D523" t="s">
        <v>1170</v>
      </c>
    </row>
    <row r="524" spans="1:4" hidden="1" x14ac:dyDescent="0.3">
      <c r="A524" t="s">
        <v>502</v>
      </c>
      <c r="B524" t="s">
        <v>1294</v>
      </c>
      <c r="C524" t="s">
        <v>1169</v>
      </c>
      <c r="D524" t="s">
        <v>1171</v>
      </c>
    </row>
    <row r="525" spans="1:4" hidden="1" x14ac:dyDescent="0.3">
      <c r="A525" t="s">
        <v>502</v>
      </c>
      <c r="B525" t="s">
        <v>1294</v>
      </c>
      <c r="C525" t="s">
        <v>1169</v>
      </c>
      <c r="D525" t="s">
        <v>1172</v>
      </c>
    </row>
    <row r="526" spans="1:4" hidden="1" x14ac:dyDescent="0.3">
      <c r="A526" t="s">
        <v>502</v>
      </c>
      <c r="B526" t="s">
        <v>1294</v>
      </c>
      <c r="C526" t="s">
        <v>1169</v>
      </c>
      <c r="D526" t="s">
        <v>1173</v>
      </c>
    </row>
    <row r="527" spans="1:4" hidden="1" x14ac:dyDescent="0.3">
      <c r="A527" t="s">
        <v>502</v>
      </c>
      <c r="B527" t="s">
        <v>1294</v>
      </c>
      <c r="C527" t="s">
        <v>1169</v>
      </c>
      <c r="D527" t="s">
        <v>1174</v>
      </c>
    </row>
    <row r="528" spans="1:4" hidden="1" x14ac:dyDescent="0.3">
      <c r="A528" t="s">
        <v>502</v>
      </c>
      <c r="B528" t="s">
        <v>1294</v>
      </c>
      <c r="C528" t="s">
        <v>1169</v>
      </c>
      <c r="D528" t="s">
        <v>1175</v>
      </c>
    </row>
    <row r="529" spans="1:4" hidden="1" x14ac:dyDescent="0.3">
      <c r="A529" t="s">
        <v>502</v>
      </c>
      <c r="B529" t="s">
        <v>1294</v>
      </c>
      <c r="C529" t="s">
        <v>1169</v>
      </c>
      <c r="D529" t="s">
        <v>1176</v>
      </c>
    </row>
    <row r="530" spans="1:4" hidden="1" x14ac:dyDescent="0.3">
      <c r="A530" t="s">
        <v>502</v>
      </c>
      <c r="B530" t="s">
        <v>1294</v>
      </c>
      <c r="C530" t="s">
        <v>1169</v>
      </c>
      <c r="D530" t="s">
        <v>1177</v>
      </c>
    </row>
    <row r="531" spans="1:4" hidden="1" x14ac:dyDescent="0.3">
      <c r="A531" t="s">
        <v>502</v>
      </c>
      <c r="B531" t="s">
        <v>1294</v>
      </c>
      <c r="C531" t="s">
        <v>1169</v>
      </c>
      <c r="D531" t="s">
        <v>1178</v>
      </c>
    </row>
    <row r="532" spans="1:4" hidden="1" x14ac:dyDescent="0.3">
      <c r="A532" t="s">
        <v>502</v>
      </c>
      <c r="B532" t="s">
        <v>1294</v>
      </c>
      <c r="C532" t="s">
        <v>1169</v>
      </c>
      <c r="D532" t="s">
        <v>1179</v>
      </c>
    </row>
    <row r="533" spans="1:4" hidden="1" x14ac:dyDescent="0.3">
      <c r="A533" t="s">
        <v>502</v>
      </c>
      <c r="B533" t="s">
        <v>1294</v>
      </c>
      <c r="C533" t="s">
        <v>1169</v>
      </c>
      <c r="D533" t="s">
        <v>1180</v>
      </c>
    </row>
    <row r="534" spans="1:4" hidden="1" x14ac:dyDescent="0.3">
      <c r="A534" t="s">
        <v>502</v>
      </c>
      <c r="B534" t="s">
        <v>1294</v>
      </c>
      <c r="C534" t="s">
        <v>1169</v>
      </c>
      <c r="D534" t="s">
        <v>1181</v>
      </c>
    </row>
    <row r="535" spans="1:4" hidden="1" x14ac:dyDescent="0.3">
      <c r="A535" t="s">
        <v>502</v>
      </c>
      <c r="B535" t="s">
        <v>1295</v>
      </c>
      <c r="C535" t="s">
        <v>1169</v>
      </c>
      <c r="D535" t="s">
        <v>1170</v>
      </c>
    </row>
    <row r="536" spans="1:4" hidden="1" x14ac:dyDescent="0.3">
      <c r="A536" t="s">
        <v>502</v>
      </c>
      <c r="B536" t="s">
        <v>1295</v>
      </c>
      <c r="C536" t="s">
        <v>1169</v>
      </c>
      <c r="D536" t="s">
        <v>1171</v>
      </c>
    </row>
    <row r="537" spans="1:4" hidden="1" x14ac:dyDescent="0.3">
      <c r="A537" t="s">
        <v>502</v>
      </c>
      <c r="B537" t="s">
        <v>1295</v>
      </c>
      <c r="C537" t="s">
        <v>1169</v>
      </c>
      <c r="D537" t="s">
        <v>1172</v>
      </c>
    </row>
    <row r="538" spans="1:4" hidden="1" x14ac:dyDescent="0.3">
      <c r="A538" t="s">
        <v>502</v>
      </c>
      <c r="B538" t="s">
        <v>1295</v>
      </c>
      <c r="C538" t="s">
        <v>1169</v>
      </c>
      <c r="D538" t="s">
        <v>1173</v>
      </c>
    </row>
    <row r="539" spans="1:4" hidden="1" x14ac:dyDescent="0.3">
      <c r="A539" t="s">
        <v>502</v>
      </c>
      <c r="B539" t="s">
        <v>1295</v>
      </c>
      <c r="C539" t="s">
        <v>1169</v>
      </c>
      <c r="D539" t="s">
        <v>1174</v>
      </c>
    </row>
    <row r="540" spans="1:4" hidden="1" x14ac:dyDescent="0.3">
      <c r="A540" t="s">
        <v>502</v>
      </c>
      <c r="B540" t="s">
        <v>1295</v>
      </c>
      <c r="C540" t="s">
        <v>1169</v>
      </c>
      <c r="D540" t="s">
        <v>1175</v>
      </c>
    </row>
    <row r="541" spans="1:4" hidden="1" x14ac:dyDescent="0.3">
      <c r="A541" t="s">
        <v>502</v>
      </c>
      <c r="B541" t="s">
        <v>1295</v>
      </c>
      <c r="C541" t="s">
        <v>1169</v>
      </c>
      <c r="D541" t="s">
        <v>1176</v>
      </c>
    </row>
    <row r="542" spans="1:4" hidden="1" x14ac:dyDescent="0.3">
      <c r="A542" t="s">
        <v>502</v>
      </c>
      <c r="B542" t="s">
        <v>1295</v>
      </c>
      <c r="C542" t="s">
        <v>1169</v>
      </c>
      <c r="D542" t="s">
        <v>1177</v>
      </c>
    </row>
    <row r="543" spans="1:4" hidden="1" x14ac:dyDescent="0.3">
      <c r="A543" t="s">
        <v>502</v>
      </c>
      <c r="B543" t="s">
        <v>1295</v>
      </c>
      <c r="C543" t="s">
        <v>1169</v>
      </c>
      <c r="D543" t="s">
        <v>1178</v>
      </c>
    </row>
    <row r="544" spans="1:4" hidden="1" x14ac:dyDescent="0.3">
      <c r="A544" t="s">
        <v>502</v>
      </c>
      <c r="B544" t="s">
        <v>1295</v>
      </c>
      <c r="C544" t="s">
        <v>1169</v>
      </c>
      <c r="D544" t="s">
        <v>1179</v>
      </c>
    </row>
    <row r="545" spans="1:4" hidden="1" x14ac:dyDescent="0.3">
      <c r="A545" t="s">
        <v>502</v>
      </c>
      <c r="B545" t="s">
        <v>1295</v>
      </c>
      <c r="C545" t="s">
        <v>1169</v>
      </c>
      <c r="D545" t="s">
        <v>1180</v>
      </c>
    </row>
    <row r="546" spans="1:4" hidden="1" x14ac:dyDescent="0.3">
      <c r="A546" t="s">
        <v>502</v>
      </c>
      <c r="B546" t="s">
        <v>1295</v>
      </c>
      <c r="C546" t="s">
        <v>1169</v>
      </c>
      <c r="D546" t="s">
        <v>1181</v>
      </c>
    </row>
    <row r="547" spans="1:4" hidden="1" x14ac:dyDescent="0.3">
      <c r="A547" t="s">
        <v>502</v>
      </c>
      <c r="B547" t="s">
        <v>1296</v>
      </c>
      <c r="C547" t="s">
        <v>1169</v>
      </c>
      <c r="D547" t="s">
        <v>1170</v>
      </c>
    </row>
    <row r="548" spans="1:4" hidden="1" x14ac:dyDescent="0.3">
      <c r="A548" t="s">
        <v>502</v>
      </c>
      <c r="B548" t="s">
        <v>1296</v>
      </c>
      <c r="C548" t="s">
        <v>1169</v>
      </c>
      <c r="D548" t="s">
        <v>1171</v>
      </c>
    </row>
    <row r="549" spans="1:4" hidden="1" x14ac:dyDescent="0.3">
      <c r="A549" t="s">
        <v>502</v>
      </c>
      <c r="B549" t="s">
        <v>1296</v>
      </c>
      <c r="C549" t="s">
        <v>1169</v>
      </c>
      <c r="D549" t="s">
        <v>1172</v>
      </c>
    </row>
    <row r="550" spans="1:4" hidden="1" x14ac:dyDescent="0.3">
      <c r="A550" t="s">
        <v>502</v>
      </c>
      <c r="B550" t="s">
        <v>1296</v>
      </c>
      <c r="C550" t="s">
        <v>1169</v>
      </c>
      <c r="D550" t="s">
        <v>1173</v>
      </c>
    </row>
    <row r="551" spans="1:4" hidden="1" x14ac:dyDescent="0.3">
      <c r="A551" t="s">
        <v>502</v>
      </c>
      <c r="B551" t="s">
        <v>1296</v>
      </c>
      <c r="C551" t="s">
        <v>1169</v>
      </c>
      <c r="D551" t="s">
        <v>1174</v>
      </c>
    </row>
    <row r="552" spans="1:4" hidden="1" x14ac:dyDescent="0.3">
      <c r="A552" t="s">
        <v>502</v>
      </c>
      <c r="B552" t="s">
        <v>1296</v>
      </c>
      <c r="C552" t="s">
        <v>1169</v>
      </c>
      <c r="D552" t="s">
        <v>1175</v>
      </c>
    </row>
    <row r="553" spans="1:4" hidden="1" x14ac:dyDescent="0.3">
      <c r="A553" t="s">
        <v>502</v>
      </c>
      <c r="B553" t="s">
        <v>1296</v>
      </c>
      <c r="C553" t="s">
        <v>1169</v>
      </c>
      <c r="D553" t="s">
        <v>1176</v>
      </c>
    </row>
    <row r="554" spans="1:4" hidden="1" x14ac:dyDescent="0.3">
      <c r="A554" t="s">
        <v>502</v>
      </c>
      <c r="B554" t="s">
        <v>1296</v>
      </c>
      <c r="C554" t="s">
        <v>1169</v>
      </c>
      <c r="D554" t="s">
        <v>1177</v>
      </c>
    </row>
    <row r="555" spans="1:4" hidden="1" x14ac:dyDescent="0.3">
      <c r="A555" t="s">
        <v>502</v>
      </c>
      <c r="B555" t="s">
        <v>1296</v>
      </c>
      <c r="C555" t="s">
        <v>1169</v>
      </c>
      <c r="D555" t="s">
        <v>1178</v>
      </c>
    </row>
    <row r="556" spans="1:4" hidden="1" x14ac:dyDescent="0.3">
      <c r="A556" t="s">
        <v>502</v>
      </c>
      <c r="B556" t="s">
        <v>1296</v>
      </c>
      <c r="C556" t="s">
        <v>1169</v>
      </c>
      <c r="D556" t="s">
        <v>1179</v>
      </c>
    </row>
    <row r="557" spans="1:4" hidden="1" x14ac:dyDescent="0.3">
      <c r="A557" t="s">
        <v>502</v>
      </c>
      <c r="B557" t="s">
        <v>1296</v>
      </c>
      <c r="C557" t="s">
        <v>1169</v>
      </c>
      <c r="D557" t="s">
        <v>1180</v>
      </c>
    </row>
    <row r="558" spans="1:4" hidden="1" x14ac:dyDescent="0.3">
      <c r="A558" t="s">
        <v>502</v>
      </c>
      <c r="B558" t="s">
        <v>1296</v>
      </c>
      <c r="C558" t="s">
        <v>1169</v>
      </c>
      <c r="D558" t="s">
        <v>1181</v>
      </c>
    </row>
    <row r="559" spans="1:4" hidden="1" x14ac:dyDescent="0.3">
      <c r="A559" t="s">
        <v>502</v>
      </c>
      <c r="B559" t="s">
        <v>1297</v>
      </c>
      <c r="C559" t="s">
        <v>1169</v>
      </c>
      <c r="D559" t="s">
        <v>1170</v>
      </c>
    </row>
    <row r="560" spans="1:4" hidden="1" x14ac:dyDescent="0.3">
      <c r="A560" t="s">
        <v>502</v>
      </c>
      <c r="B560" t="s">
        <v>1297</v>
      </c>
      <c r="C560" t="s">
        <v>1169</v>
      </c>
      <c r="D560" t="s">
        <v>1171</v>
      </c>
    </row>
    <row r="561" spans="1:4" hidden="1" x14ac:dyDescent="0.3">
      <c r="A561" t="s">
        <v>502</v>
      </c>
      <c r="B561" t="s">
        <v>1297</v>
      </c>
      <c r="C561" t="s">
        <v>1169</v>
      </c>
      <c r="D561" t="s">
        <v>1172</v>
      </c>
    </row>
    <row r="562" spans="1:4" hidden="1" x14ac:dyDescent="0.3">
      <c r="A562" t="s">
        <v>502</v>
      </c>
      <c r="B562" t="s">
        <v>1297</v>
      </c>
      <c r="C562" t="s">
        <v>1169</v>
      </c>
      <c r="D562" t="s">
        <v>1173</v>
      </c>
    </row>
    <row r="563" spans="1:4" hidden="1" x14ac:dyDescent="0.3">
      <c r="A563" t="s">
        <v>502</v>
      </c>
      <c r="B563" t="s">
        <v>1297</v>
      </c>
      <c r="C563" t="s">
        <v>1169</v>
      </c>
      <c r="D563" t="s">
        <v>1174</v>
      </c>
    </row>
    <row r="564" spans="1:4" hidden="1" x14ac:dyDescent="0.3">
      <c r="A564" t="s">
        <v>502</v>
      </c>
      <c r="B564" t="s">
        <v>1297</v>
      </c>
      <c r="C564" t="s">
        <v>1169</v>
      </c>
      <c r="D564" t="s">
        <v>1175</v>
      </c>
    </row>
    <row r="565" spans="1:4" hidden="1" x14ac:dyDescent="0.3">
      <c r="A565" t="s">
        <v>502</v>
      </c>
      <c r="B565" t="s">
        <v>1297</v>
      </c>
      <c r="C565" t="s">
        <v>1169</v>
      </c>
      <c r="D565" t="s">
        <v>1176</v>
      </c>
    </row>
    <row r="566" spans="1:4" hidden="1" x14ac:dyDescent="0.3">
      <c r="A566" t="s">
        <v>502</v>
      </c>
      <c r="B566" t="s">
        <v>1297</v>
      </c>
      <c r="C566" t="s">
        <v>1169</v>
      </c>
      <c r="D566" t="s">
        <v>1177</v>
      </c>
    </row>
    <row r="567" spans="1:4" hidden="1" x14ac:dyDescent="0.3">
      <c r="A567" t="s">
        <v>502</v>
      </c>
      <c r="B567" t="s">
        <v>1297</v>
      </c>
      <c r="C567" t="s">
        <v>1169</v>
      </c>
      <c r="D567" t="s">
        <v>1178</v>
      </c>
    </row>
    <row r="568" spans="1:4" hidden="1" x14ac:dyDescent="0.3">
      <c r="A568" t="s">
        <v>502</v>
      </c>
      <c r="B568" t="s">
        <v>1297</v>
      </c>
      <c r="C568" t="s">
        <v>1169</v>
      </c>
      <c r="D568" t="s">
        <v>1179</v>
      </c>
    </row>
    <row r="569" spans="1:4" hidden="1" x14ac:dyDescent="0.3">
      <c r="A569" t="s">
        <v>502</v>
      </c>
      <c r="B569" t="s">
        <v>1297</v>
      </c>
      <c r="C569" t="s">
        <v>1169</v>
      </c>
      <c r="D569" t="s">
        <v>1180</v>
      </c>
    </row>
    <row r="570" spans="1:4" hidden="1" x14ac:dyDescent="0.3">
      <c r="A570" t="s">
        <v>502</v>
      </c>
      <c r="B570" t="s">
        <v>1297</v>
      </c>
      <c r="C570" t="s">
        <v>1169</v>
      </c>
      <c r="D570" t="s">
        <v>1181</v>
      </c>
    </row>
    <row r="571" spans="1:4" hidden="1" x14ac:dyDescent="0.3">
      <c r="A571" t="s">
        <v>502</v>
      </c>
      <c r="B571" t="s">
        <v>1298</v>
      </c>
      <c r="C571" t="s">
        <v>1169</v>
      </c>
      <c r="D571" t="s">
        <v>1170</v>
      </c>
    </row>
    <row r="572" spans="1:4" hidden="1" x14ac:dyDescent="0.3">
      <c r="A572" t="s">
        <v>502</v>
      </c>
      <c r="B572" t="s">
        <v>1298</v>
      </c>
      <c r="C572" t="s">
        <v>1169</v>
      </c>
      <c r="D572" t="s">
        <v>1171</v>
      </c>
    </row>
    <row r="573" spans="1:4" hidden="1" x14ac:dyDescent="0.3">
      <c r="A573" t="s">
        <v>502</v>
      </c>
      <c r="B573" t="s">
        <v>1298</v>
      </c>
      <c r="C573" t="s">
        <v>1169</v>
      </c>
      <c r="D573" t="s">
        <v>1172</v>
      </c>
    </row>
    <row r="574" spans="1:4" hidden="1" x14ac:dyDescent="0.3">
      <c r="A574" t="s">
        <v>502</v>
      </c>
      <c r="B574" t="s">
        <v>1298</v>
      </c>
      <c r="C574" t="s">
        <v>1169</v>
      </c>
      <c r="D574" t="s">
        <v>1173</v>
      </c>
    </row>
    <row r="575" spans="1:4" hidden="1" x14ac:dyDescent="0.3">
      <c r="A575" t="s">
        <v>502</v>
      </c>
      <c r="B575" t="s">
        <v>1298</v>
      </c>
      <c r="C575" t="s">
        <v>1169</v>
      </c>
      <c r="D575" t="s">
        <v>1174</v>
      </c>
    </row>
    <row r="576" spans="1:4" hidden="1" x14ac:dyDescent="0.3">
      <c r="A576" t="s">
        <v>502</v>
      </c>
      <c r="B576" t="s">
        <v>1298</v>
      </c>
      <c r="C576" t="s">
        <v>1169</v>
      </c>
      <c r="D576" t="s">
        <v>1175</v>
      </c>
    </row>
    <row r="577" spans="1:4" hidden="1" x14ac:dyDescent="0.3">
      <c r="A577" t="s">
        <v>502</v>
      </c>
      <c r="B577" t="s">
        <v>1298</v>
      </c>
      <c r="C577" t="s">
        <v>1169</v>
      </c>
      <c r="D577" t="s">
        <v>1176</v>
      </c>
    </row>
    <row r="578" spans="1:4" hidden="1" x14ac:dyDescent="0.3">
      <c r="A578" t="s">
        <v>502</v>
      </c>
      <c r="B578" t="s">
        <v>1298</v>
      </c>
      <c r="C578" t="s">
        <v>1169</v>
      </c>
      <c r="D578" t="s">
        <v>1177</v>
      </c>
    </row>
    <row r="579" spans="1:4" hidden="1" x14ac:dyDescent="0.3">
      <c r="A579" t="s">
        <v>502</v>
      </c>
      <c r="B579" t="s">
        <v>1298</v>
      </c>
      <c r="C579" t="s">
        <v>1169</v>
      </c>
      <c r="D579" t="s">
        <v>1178</v>
      </c>
    </row>
    <row r="580" spans="1:4" hidden="1" x14ac:dyDescent="0.3">
      <c r="A580" t="s">
        <v>502</v>
      </c>
      <c r="B580" t="s">
        <v>1298</v>
      </c>
      <c r="C580" t="s">
        <v>1169</v>
      </c>
      <c r="D580" t="s">
        <v>1179</v>
      </c>
    </row>
    <row r="581" spans="1:4" hidden="1" x14ac:dyDescent="0.3">
      <c r="A581" t="s">
        <v>502</v>
      </c>
      <c r="B581" t="s">
        <v>1298</v>
      </c>
      <c r="C581" t="s">
        <v>1169</v>
      </c>
      <c r="D581" t="s">
        <v>1180</v>
      </c>
    </row>
    <row r="582" spans="1:4" hidden="1" x14ac:dyDescent="0.3">
      <c r="A582" t="s">
        <v>502</v>
      </c>
      <c r="B582" t="s">
        <v>1299</v>
      </c>
      <c r="C582" t="s">
        <v>61</v>
      </c>
      <c r="D582" t="s">
        <v>1170</v>
      </c>
    </row>
    <row r="583" spans="1:4" hidden="1" x14ac:dyDescent="0.3">
      <c r="A583" t="s">
        <v>502</v>
      </c>
      <c r="B583" t="s">
        <v>1299</v>
      </c>
      <c r="C583" t="s">
        <v>61</v>
      </c>
      <c r="D583" t="s">
        <v>1171</v>
      </c>
    </row>
    <row r="584" spans="1:4" hidden="1" x14ac:dyDescent="0.3">
      <c r="A584" t="s">
        <v>502</v>
      </c>
      <c r="B584" t="s">
        <v>1299</v>
      </c>
      <c r="C584" t="s">
        <v>61</v>
      </c>
      <c r="D584" t="s">
        <v>1172</v>
      </c>
    </row>
    <row r="585" spans="1:4" hidden="1" x14ac:dyDescent="0.3">
      <c r="A585" t="s">
        <v>502</v>
      </c>
      <c r="B585" t="s">
        <v>1299</v>
      </c>
      <c r="C585" t="s">
        <v>61</v>
      </c>
      <c r="D585" t="s">
        <v>1173</v>
      </c>
    </row>
    <row r="586" spans="1:4" hidden="1" x14ac:dyDescent="0.3">
      <c r="A586" t="s">
        <v>502</v>
      </c>
      <c r="B586" t="s">
        <v>1299</v>
      </c>
      <c r="C586" t="s">
        <v>61</v>
      </c>
      <c r="D586" t="s">
        <v>1174</v>
      </c>
    </row>
    <row r="587" spans="1:4" hidden="1" x14ac:dyDescent="0.3">
      <c r="A587" t="s">
        <v>502</v>
      </c>
      <c r="B587" t="s">
        <v>1299</v>
      </c>
      <c r="C587" t="s">
        <v>61</v>
      </c>
      <c r="D587" t="s">
        <v>1175</v>
      </c>
    </row>
    <row r="588" spans="1:4" hidden="1" x14ac:dyDescent="0.3">
      <c r="A588" t="s">
        <v>502</v>
      </c>
      <c r="B588" t="s">
        <v>1299</v>
      </c>
      <c r="C588" t="s">
        <v>61</v>
      </c>
      <c r="D588" t="s">
        <v>1176</v>
      </c>
    </row>
    <row r="589" spans="1:4" hidden="1" x14ac:dyDescent="0.3">
      <c r="A589" t="s">
        <v>502</v>
      </c>
      <c r="B589" t="s">
        <v>1299</v>
      </c>
      <c r="C589" t="s">
        <v>61</v>
      </c>
      <c r="D589" t="s">
        <v>1177</v>
      </c>
    </row>
    <row r="590" spans="1:4" hidden="1" x14ac:dyDescent="0.3">
      <c r="A590" t="s">
        <v>502</v>
      </c>
      <c r="B590" t="s">
        <v>1299</v>
      </c>
      <c r="C590" t="s">
        <v>61</v>
      </c>
      <c r="D590" t="s">
        <v>1178</v>
      </c>
    </row>
    <row r="591" spans="1:4" hidden="1" x14ac:dyDescent="0.3">
      <c r="A591" t="s">
        <v>502</v>
      </c>
      <c r="B591" t="s">
        <v>1299</v>
      </c>
      <c r="C591" t="s">
        <v>61</v>
      </c>
      <c r="D591" t="s">
        <v>1179</v>
      </c>
    </row>
    <row r="592" spans="1:4" hidden="1" x14ac:dyDescent="0.3">
      <c r="A592" t="s">
        <v>502</v>
      </c>
      <c r="B592" t="s">
        <v>1299</v>
      </c>
      <c r="C592" t="s">
        <v>61</v>
      </c>
      <c r="D592" t="s">
        <v>1180</v>
      </c>
    </row>
    <row r="593" spans="1:4" hidden="1" x14ac:dyDescent="0.3">
      <c r="A593" t="s">
        <v>502</v>
      </c>
      <c r="B593" t="s">
        <v>1299</v>
      </c>
      <c r="C593" t="s">
        <v>61</v>
      </c>
      <c r="D593" t="s">
        <v>1181</v>
      </c>
    </row>
    <row r="594" spans="1:4" hidden="1" x14ac:dyDescent="0.3">
      <c r="A594" t="s">
        <v>502</v>
      </c>
      <c r="B594" t="s">
        <v>1300</v>
      </c>
      <c r="C594" t="s">
        <v>61</v>
      </c>
      <c r="D594" t="s">
        <v>1170</v>
      </c>
    </row>
    <row r="595" spans="1:4" hidden="1" x14ac:dyDescent="0.3">
      <c r="A595" t="s">
        <v>502</v>
      </c>
      <c r="B595" t="s">
        <v>1300</v>
      </c>
      <c r="C595" t="s">
        <v>61</v>
      </c>
      <c r="D595" t="s">
        <v>1171</v>
      </c>
    </row>
    <row r="596" spans="1:4" hidden="1" x14ac:dyDescent="0.3">
      <c r="A596" t="s">
        <v>502</v>
      </c>
      <c r="B596" t="s">
        <v>1300</v>
      </c>
      <c r="C596" t="s">
        <v>61</v>
      </c>
      <c r="D596" t="s">
        <v>1172</v>
      </c>
    </row>
    <row r="597" spans="1:4" hidden="1" x14ac:dyDescent="0.3">
      <c r="A597" t="s">
        <v>502</v>
      </c>
      <c r="B597" t="s">
        <v>1300</v>
      </c>
      <c r="C597" t="s">
        <v>61</v>
      </c>
      <c r="D597" t="s">
        <v>1173</v>
      </c>
    </row>
    <row r="598" spans="1:4" hidden="1" x14ac:dyDescent="0.3">
      <c r="A598" t="s">
        <v>502</v>
      </c>
      <c r="B598" t="s">
        <v>1300</v>
      </c>
      <c r="C598" t="s">
        <v>61</v>
      </c>
      <c r="D598" t="s">
        <v>1174</v>
      </c>
    </row>
    <row r="599" spans="1:4" hidden="1" x14ac:dyDescent="0.3">
      <c r="A599" t="s">
        <v>502</v>
      </c>
      <c r="B599" t="s">
        <v>1300</v>
      </c>
      <c r="C599" t="s">
        <v>61</v>
      </c>
      <c r="D599" t="s">
        <v>1175</v>
      </c>
    </row>
    <row r="600" spans="1:4" hidden="1" x14ac:dyDescent="0.3">
      <c r="A600" t="s">
        <v>502</v>
      </c>
      <c r="B600" t="s">
        <v>1300</v>
      </c>
      <c r="C600" t="s">
        <v>61</v>
      </c>
      <c r="D600" t="s">
        <v>1176</v>
      </c>
    </row>
    <row r="601" spans="1:4" hidden="1" x14ac:dyDescent="0.3">
      <c r="A601" t="s">
        <v>502</v>
      </c>
      <c r="B601" t="s">
        <v>1300</v>
      </c>
      <c r="C601" t="s">
        <v>61</v>
      </c>
      <c r="D601" t="s">
        <v>1177</v>
      </c>
    </row>
    <row r="602" spans="1:4" hidden="1" x14ac:dyDescent="0.3">
      <c r="A602" t="s">
        <v>502</v>
      </c>
      <c r="B602" t="s">
        <v>1300</v>
      </c>
      <c r="C602" t="s">
        <v>61</v>
      </c>
      <c r="D602" t="s">
        <v>1178</v>
      </c>
    </row>
    <row r="603" spans="1:4" hidden="1" x14ac:dyDescent="0.3">
      <c r="A603" t="s">
        <v>502</v>
      </c>
      <c r="B603" t="s">
        <v>1300</v>
      </c>
      <c r="C603" t="s">
        <v>61</v>
      </c>
      <c r="D603" t="s">
        <v>1179</v>
      </c>
    </row>
    <row r="604" spans="1:4" hidden="1" x14ac:dyDescent="0.3">
      <c r="A604" t="s">
        <v>502</v>
      </c>
      <c r="B604" t="s">
        <v>1300</v>
      </c>
      <c r="C604" t="s">
        <v>61</v>
      </c>
      <c r="D604" t="s">
        <v>1180</v>
      </c>
    </row>
    <row r="605" spans="1:4" hidden="1" x14ac:dyDescent="0.3">
      <c r="A605" t="s">
        <v>502</v>
      </c>
      <c r="B605" t="s">
        <v>1300</v>
      </c>
      <c r="C605" t="s">
        <v>61</v>
      </c>
      <c r="D605" t="s">
        <v>1181</v>
      </c>
    </row>
    <row r="606" spans="1:4" hidden="1" x14ac:dyDescent="0.3">
      <c r="A606" t="s">
        <v>502</v>
      </c>
      <c r="B606" t="s">
        <v>1301</v>
      </c>
      <c r="C606" t="s">
        <v>61</v>
      </c>
      <c r="D606" t="s">
        <v>1170</v>
      </c>
    </row>
    <row r="607" spans="1:4" hidden="1" x14ac:dyDescent="0.3">
      <c r="A607" t="s">
        <v>502</v>
      </c>
      <c r="B607" t="s">
        <v>1301</v>
      </c>
      <c r="C607" t="s">
        <v>61</v>
      </c>
      <c r="D607" t="s">
        <v>1171</v>
      </c>
    </row>
    <row r="608" spans="1:4" hidden="1" x14ac:dyDescent="0.3">
      <c r="A608" t="s">
        <v>502</v>
      </c>
      <c r="B608" t="s">
        <v>1301</v>
      </c>
      <c r="C608" t="s">
        <v>61</v>
      </c>
      <c r="D608" t="s">
        <v>1172</v>
      </c>
    </row>
    <row r="609" spans="1:4" hidden="1" x14ac:dyDescent="0.3">
      <c r="A609" t="s">
        <v>502</v>
      </c>
      <c r="B609" t="s">
        <v>1301</v>
      </c>
      <c r="C609" t="s">
        <v>61</v>
      </c>
      <c r="D609" t="s">
        <v>1173</v>
      </c>
    </row>
    <row r="610" spans="1:4" hidden="1" x14ac:dyDescent="0.3">
      <c r="A610" t="s">
        <v>502</v>
      </c>
      <c r="B610" t="s">
        <v>1301</v>
      </c>
      <c r="C610" t="s">
        <v>61</v>
      </c>
      <c r="D610" t="s">
        <v>1174</v>
      </c>
    </row>
    <row r="611" spans="1:4" hidden="1" x14ac:dyDescent="0.3">
      <c r="A611" t="s">
        <v>502</v>
      </c>
      <c r="B611" t="s">
        <v>1301</v>
      </c>
      <c r="C611" t="s">
        <v>61</v>
      </c>
      <c r="D611" t="s">
        <v>1175</v>
      </c>
    </row>
    <row r="612" spans="1:4" hidden="1" x14ac:dyDescent="0.3">
      <c r="A612" t="s">
        <v>502</v>
      </c>
      <c r="B612" t="s">
        <v>1301</v>
      </c>
      <c r="C612" t="s">
        <v>61</v>
      </c>
      <c r="D612" t="s">
        <v>1176</v>
      </c>
    </row>
    <row r="613" spans="1:4" hidden="1" x14ac:dyDescent="0.3">
      <c r="A613" t="s">
        <v>502</v>
      </c>
      <c r="B613" t="s">
        <v>1301</v>
      </c>
      <c r="C613" t="s">
        <v>61</v>
      </c>
      <c r="D613" t="s">
        <v>1177</v>
      </c>
    </row>
    <row r="614" spans="1:4" hidden="1" x14ac:dyDescent="0.3">
      <c r="A614" t="s">
        <v>502</v>
      </c>
      <c r="B614" t="s">
        <v>1301</v>
      </c>
      <c r="C614" t="s">
        <v>61</v>
      </c>
      <c r="D614" t="s">
        <v>1178</v>
      </c>
    </row>
    <row r="615" spans="1:4" hidden="1" x14ac:dyDescent="0.3">
      <c r="A615" t="s">
        <v>502</v>
      </c>
      <c r="B615" t="s">
        <v>1301</v>
      </c>
      <c r="C615" t="s">
        <v>61</v>
      </c>
      <c r="D615" t="s">
        <v>1179</v>
      </c>
    </row>
    <row r="616" spans="1:4" hidden="1" x14ac:dyDescent="0.3">
      <c r="A616" t="s">
        <v>502</v>
      </c>
      <c r="B616" t="s">
        <v>1301</v>
      </c>
      <c r="C616" t="s">
        <v>61</v>
      </c>
      <c r="D616" t="s">
        <v>1180</v>
      </c>
    </row>
    <row r="617" spans="1:4" hidden="1" x14ac:dyDescent="0.3">
      <c r="A617" t="s">
        <v>502</v>
      </c>
      <c r="B617" t="s">
        <v>1301</v>
      </c>
      <c r="C617" t="s">
        <v>61</v>
      </c>
      <c r="D617" t="s">
        <v>1181</v>
      </c>
    </row>
    <row r="618" spans="1:4" hidden="1" x14ac:dyDescent="0.3">
      <c r="A618" t="s">
        <v>456</v>
      </c>
      <c r="B618" t="s">
        <v>1302</v>
      </c>
      <c r="C618" t="s">
        <v>1169</v>
      </c>
      <c r="D618" t="s">
        <v>1170</v>
      </c>
    </row>
    <row r="619" spans="1:4" hidden="1" x14ac:dyDescent="0.3">
      <c r="A619" t="s">
        <v>456</v>
      </c>
      <c r="B619" t="s">
        <v>1302</v>
      </c>
      <c r="C619" t="s">
        <v>1169</v>
      </c>
      <c r="D619" t="s">
        <v>1171</v>
      </c>
    </row>
    <row r="620" spans="1:4" hidden="1" x14ac:dyDescent="0.3">
      <c r="A620" t="s">
        <v>456</v>
      </c>
      <c r="B620" t="s">
        <v>1302</v>
      </c>
      <c r="C620" t="s">
        <v>1169</v>
      </c>
      <c r="D620" t="s">
        <v>1172</v>
      </c>
    </row>
    <row r="621" spans="1:4" hidden="1" x14ac:dyDescent="0.3">
      <c r="A621" t="s">
        <v>456</v>
      </c>
      <c r="B621" t="s">
        <v>1302</v>
      </c>
      <c r="C621" t="s">
        <v>1169</v>
      </c>
      <c r="D621" t="s">
        <v>1173</v>
      </c>
    </row>
    <row r="622" spans="1:4" hidden="1" x14ac:dyDescent="0.3">
      <c r="A622" t="s">
        <v>456</v>
      </c>
      <c r="B622" t="s">
        <v>1302</v>
      </c>
      <c r="C622" t="s">
        <v>1169</v>
      </c>
      <c r="D622" t="s">
        <v>1174</v>
      </c>
    </row>
    <row r="623" spans="1:4" hidden="1" x14ac:dyDescent="0.3">
      <c r="A623" t="s">
        <v>456</v>
      </c>
      <c r="B623" t="s">
        <v>1302</v>
      </c>
      <c r="C623" t="s">
        <v>1169</v>
      </c>
      <c r="D623" t="s">
        <v>1175</v>
      </c>
    </row>
    <row r="624" spans="1:4" hidden="1" x14ac:dyDescent="0.3">
      <c r="A624" t="s">
        <v>456</v>
      </c>
      <c r="B624" t="s">
        <v>1302</v>
      </c>
      <c r="C624" t="s">
        <v>1169</v>
      </c>
      <c r="D624" t="s">
        <v>1176</v>
      </c>
    </row>
    <row r="625" spans="1:4" hidden="1" x14ac:dyDescent="0.3">
      <c r="A625" t="s">
        <v>456</v>
      </c>
      <c r="B625" t="s">
        <v>1302</v>
      </c>
      <c r="C625" t="s">
        <v>1169</v>
      </c>
      <c r="D625" t="s">
        <v>1177</v>
      </c>
    </row>
    <row r="626" spans="1:4" hidden="1" x14ac:dyDescent="0.3">
      <c r="A626" t="s">
        <v>456</v>
      </c>
      <c r="B626" t="s">
        <v>1302</v>
      </c>
      <c r="C626" t="s">
        <v>1169</v>
      </c>
      <c r="D626" t="s">
        <v>1178</v>
      </c>
    </row>
    <row r="627" spans="1:4" hidden="1" x14ac:dyDescent="0.3">
      <c r="A627" t="s">
        <v>456</v>
      </c>
      <c r="B627" t="s">
        <v>1302</v>
      </c>
      <c r="C627" t="s">
        <v>1169</v>
      </c>
      <c r="D627" t="s">
        <v>1179</v>
      </c>
    </row>
    <row r="628" spans="1:4" hidden="1" x14ac:dyDescent="0.3">
      <c r="A628" t="s">
        <v>456</v>
      </c>
      <c r="B628" t="s">
        <v>1302</v>
      </c>
      <c r="C628" t="s">
        <v>1169</v>
      </c>
      <c r="D628" t="s">
        <v>1180</v>
      </c>
    </row>
    <row r="629" spans="1:4" hidden="1" x14ac:dyDescent="0.3">
      <c r="A629" t="s">
        <v>456</v>
      </c>
      <c r="B629" t="s">
        <v>1302</v>
      </c>
      <c r="C629" t="s">
        <v>1169</v>
      </c>
      <c r="D629" t="s">
        <v>1181</v>
      </c>
    </row>
    <row r="630" spans="1:4" hidden="1" x14ac:dyDescent="0.3">
      <c r="A630" t="s">
        <v>456</v>
      </c>
      <c r="B630" t="s">
        <v>1303</v>
      </c>
      <c r="C630" t="s">
        <v>1169</v>
      </c>
      <c r="D630" t="s">
        <v>1170</v>
      </c>
    </row>
    <row r="631" spans="1:4" hidden="1" x14ac:dyDescent="0.3">
      <c r="A631" t="s">
        <v>456</v>
      </c>
      <c r="B631" t="s">
        <v>1303</v>
      </c>
      <c r="C631" t="s">
        <v>1169</v>
      </c>
      <c r="D631" t="s">
        <v>1171</v>
      </c>
    </row>
    <row r="632" spans="1:4" hidden="1" x14ac:dyDescent="0.3">
      <c r="A632" t="s">
        <v>456</v>
      </c>
      <c r="B632" t="s">
        <v>1303</v>
      </c>
      <c r="C632" t="s">
        <v>1169</v>
      </c>
      <c r="D632" t="s">
        <v>1172</v>
      </c>
    </row>
    <row r="633" spans="1:4" hidden="1" x14ac:dyDescent="0.3">
      <c r="A633" t="s">
        <v>456</v>
      </c>
      <c r="B633" t="s">
        <v>1303</v>
      </c>
      <c r="C633" t="s">
        <v>1169</v>
      </c>
      <c r="D633" t="s">
        <v>1173</v>
      </c>
    </row>
    <row r="634" spans="1:4" hidden="1" x14ac:dyDescent="0.3">
      <c r="A634" t="s">
        <v>456</v>
      </c>
      <c r="B634" t="s">
        <v>1303</v>
      </c>
      <c r="C634" t="s">
        <v>1169</v>
      </c>
      <c r="D634" t="s">
        <v>1174</v>
      </c>
    </row>
    <row r="635" spans="1:4" hidden="1" x14ac:dyDescent="0.3">
      <c r="A635" t="s">
        <v>456</v>
      </c>
      <c r="B635" t="s">
        <v>1303</v>
      </c>
      <c r="C635" t="s">
        <v>1169</v>
      </c>
      <c r="D635" t="s">
        <v>1175</v>
      </c>
    </row>
    <row r="636" spans="1:4" hidden="1" x14ac:dyDescent="0.3">
      <c r="A636" t="s">
        <v>456</v>
      </c>
      <c r="B636" t="s">
        <v>1303</v>
      </c>
      <c r="C636" t="s">
        <v>1169</v>
      </c>
      <c r="D636" t="s">
        <v>1176</v>
      </c>
    </row>
    <row r="637" spans="1:4" hidden="1" x14ac:dyDescent="0.3">
      <c r="A637" t="s">
        <v>456</v>
      </c>
      <c r="B637" t="s">
        <v>1303</v>
      </c>
      <c r="C637" t="s">
        <v>1169</v>
      </c>
      <c r="D637" t="s">
        <v>1177</v>
      </c>
    </row>
    <row r="638" spans="1:4" hidden="1" x14ac:dyDescent="0.3">
      <c r="A638" t="s">
        <v>456</v>
      </c>
      <c r="B638" t="s">
        <v>1303</v>
      </c>
      <c r="C638" t="s">
        <v>1169</v>
      </c>
      <c r="D638" t="s">
        <v>1178</v>
      </c>
    </row>
    <row r="639" spans="1:4" hidden="1" x14ac:dyDescent="0.3">
      <c r="A639" t="s">
        <v>456</v>
      </c>
      <c r="B639" t="s">
        <v>1303</v>
      </c>
      <c r="C639" t="s">
        <v>1169</v>
      </c>
      <c r="D639" t="s">
        <v>1179</v>
      </c>
    </row>
    <row r="640" spans="1:4" hidden="1" x14ac:dyDescent="0.3">
      <c r="A640" t="s">
        <v>456</v>
      </c>
      <c r="B640" t="s">
        <v>1303</v>
      </c>
      <c r="C640" t="s">
        <v>1169</v>
      </c>
      <c r="D640" t="s">
        <v>1180</v>
      </c>
    </row>
    <row r="641" spans="1:4" hidden="1" x14ac:dyDescent="0.3">
      <c r="A641" t="s">
        <v>456</v>
      </c>
      <c r="B641" t="s">
        <v>1303</v>
      </c>
      <c r="C641" t="s">
        <v>1169</v>
      </c>
      <c r="D641" t="s">
        <v>1181</v>
      </c>
    </row>
    <row r="642" spans="1:4" hidden="1" x14ac:dyDescent="0.3">
      <c r="A642" t="s">
        <v>456</v>
      </c>
      <c r="B642" t="s">
        <v>1304</v>
      </c>
      <c r="C642" t="s">
        <v>1251</v>
      </c>
      <c r="D642" t="s">
        <v>1176</v>
      </c>
    </row>
    <row r="643" spans="1:4" hidden="1" x14ac:dyDescent="0.3">
      <c r="A643" t="s">
        <v>456</v>
      </c>
      <c r="B643" t="s">
        <v>1304</v>
      </c>
      <c r="C643" t="s">
        <v>1251</v>
      </c>
      <c r="D643" t="s">
        <v>1177</v>
      </c>
    </row>
    <row r="644" spans="1:4" hidden="1" x14ac:dyDescent="0.3">
      <c r="A644" t="s">
        <v>456</v>
      </c>
      <c r="B644" t="s">
        <v>1304</v>
      </c>
      <c r="C644" t="s">
        <v>1251</v>
      </c>
      <c r="D644" t="s">
        <v>1178</v>
      </c>
    </row>
    <row r="645" spans="1:4" hidden="1" x14ac:dyDescent="0.3">
      <c r="A645" t="s">
        <v>456</v>
      </c>
      <c r="B645" t="s">
        <v>1304</v>
      </c>
      <c r="C645" t="s">
        <v>1251</v>
      </c>
      <c r="D645" t="s">
        <v>1179</v>
      </c>
    </row>
    <row r="646" spans="1:4" hidden="1" x14ac:dyDescent="0.3">
      <c r="A646" t="s">
        <v>456</v>
      </c>
      <c r="B646" t="s">
        <v>1304</v>
      </c>
      <c r="C646" t="s">
        <v>1251</v>
      </c>
      <c r="D646" t="s">
        <v>1180</v>
      </c>
    </row>
    <row r="647" spans="1:4" hidden="1" x14ac:dyDescent="0.3">
      <c r="A647" t="s">
        <v>456</v>
      </c>
      <c r="B647" t="s">
        <v>1304</v>
      </c>
      <c r="C647" t="s">
        <v>1251</v>
      </c>
      <c r="D647" t="s">
        <v>1181</v>
      </c>
    </row>
    <row r="648" spans="1:4" hidden="1" x14ac:dyDescent="0.3">
      <c r="A648" t="s">
        <v>456</v>
      </c>
      <c r="B648" t="s">
        <v>1305</v>
      </c>
      <c r="C648" t="s">
        <v>61</v>
      </c>
      <c r="D648" t="s">
        <v>1171</v>
      </c>
    </row>
    <row r="649" spans="1:4" hidden="1" x14ac:dyDescent="0.3">
      <c r="A649" t="s">
        <v>456</v>
      </c>
      <c r="B649" t="s">
        <v>1305</v>
      </c>
      <c r="C649" t="s">
        <v>61</v>
      </c>
      <c r="D649" t="s">
        <v>1172</v>
      </c>
    </row>
    <row r="650" spans="1:4" hidden="1" x14ac:dyDescent="0.3">
      <c r="A650" t="s">
        <v>456</v>
      </c>
      <c r="B650" t="s">
        <v>1305</v>
      </c>
      <c r="C650" t="s">
        <v>61</v>
      </c>
      <c r="D650" t="s">
        <v>1173</v>
      </c>
    </row>
    <row r="651" spans="1:4" hidden="1" x14ac:dyDescent="0.3">
      <c r="A651" t="s">
        <v>456</v>
      </c>
      <c r="B651" t="s">
        <v>1305</v>
      </c>
      <c r="C651" t="s">
        <v>61</v>
      </c>
      <c r="D651" t="s">
        <v>1174</v>
      </c>
    </row>
    <row r="652" spans="1:4" hidden="1" x14ac:dyDescent="0.3">
      <c r="A652" t="s">
        <v>456</v>
      </c>
      <c r="B652" t="s">
        <v>1305</v>
      </c>
      <c r="C652" t="s">
        <v>61</v>
      </c>
      <c r="D652" t="s">
        <v>1175</v>
      </c>
    </row>
    <row r="653" spans="1:4" hidden="1" x14ac:dyDescent="0.3">
      <c r="A653" t="s">
        <v>456</v>
      </c>
      <c r="B653" t="s">
        <v>1305</v>
      </c>
      <c r="C653" t="s">
        <v>61</v>
      </c>
      <c r="D653" t="s">
        <v>1176</v>
      </c>
    </row>
    <row r="654" spans="1:4" hidden="1" x14ac:dyDescent="0.3">
      <c r="A654" t="s">
        <v>456</v>
      </c>
      <c r="B654" t="s">
        <v>1305</v>
      </c>
      <c r="C654" t="s">
        <v>61</v>
      </c>
      <c r="D654" t="s">
        <v>1177</v>
      </c>
    </row>
    <row r="655" spans="1:4" hidden="1" x14ac:dyDescent="0.3">
      <c r="A655" t="s">
        <v>456</v>
      </c>
      <c r="B655" t="s">
        <v>1305</v>
      </c>
      <c r="C655" t="s">
        <v>61</v>
      </c>
      <c r="D655" t="s">
        <v>1178</v>
      </c>
    </row>
    <row r="656" spans="1:4" hidden="1" x14ac:dyDescent="0.3">
      <c r="A656" t="s">
        <v>456</v>
      </c>
      <c r="B656" t="s">
        <v>1305</v>
      </c>
      <c r="C656" t="s">
        <v>61</v>
      </c>
      <c r="D656" t="s">
        <v>1179</v>
      </c>
    </row>
    <row r="657" spans="1:4" hidden="1" x14ac:dyDescent="0.3">
      <c r="A657" t="s">
        <v>456</v>
      </c>
      <c r="B657" t="s">
        <v>1305</v>
      </c>
      <c r="C657" t="s">
        <v>61</v>
      </c>
      <c r="D657" t="s">
        <v>1180</v>
      </c>
    </row>
    <row r="658" spans="1:4" hidden="1" x14ac:dyDescent="0.3">
      <c r="A658" t="s">
        <v>456</v>
      </c>
      <c r="B658" t="s">
        <v>1305</v>
      </c>
      <c r="C658" t="s">
        <v>61</v>
      </c>
      <c r="D658" t="s">
        <v>1181</v>
      </c>
    </row>
    <row r="659" spans="1:4" hidden="1" x14ac:dyDescent="0.3">
      <c r="A659" t="s">
        <v>456</v>
      </c>
      <c r="B659" t="s">
        <v>1306</v>
      </c>
      <c r="C659" t="s">
        <v>61</v>
      </c>
      <c r="D659" t="s">
        <v>1171</v>
      </c>
    </row>
    <row r="660" spans="1:4" hidden="1" x14ac:dyDescent="0.3">
      <c r="A660" t="s">
        <v>456</v>
      </c>
      <c r="B660" t="s">
        <v>1306</v>
      </c>
      <c r="C660" t="s">
        <v>61</v>
      </c>
      <c r="D660" t="s">
        <v>1172</v>
      </c>
    </row>
    <row r="661" spans="1:4" hidden="1" x14ac:dyDescent="0.3">
      <c r="A661" t="s">
        <v>456</v>
      </c>
      <c r="B661" t="s">
        <v>1306</v>
      </c>
      <c r="C661" t="s">
        <v>61</v>
      </c>
      <c r="D661" t="s">
        <v>1173</v>
      </c>
    </row>
    <row r="662" spans="1:4" hidden="1" x14ac:dyDescent="0.3">
      <c r="A662" t="s">
        <v>456</v>
      </c>
      <c r="B662" t="s">
        <v>1306</v>
      </c>
      <c r="C662" t="s">
        <v>61</v>
      </c>
      <c r="D662" t="s">
        <v>1174</v>
      </c>
    </row>
    <row r="663" spans="1:4" hidden="1" x14ac:dyDescent="0.3">
      <c r="A663" t="s">
        <v>456</v>
      </c>
      <c r="B663" t="s">
        <v>1306</v>
      </c>
      <c r="C663" t="s">
        <v>61</v>
      </c>
      <c r="D663" t="s">
        <v>1175</v>
      </c>
    </row>
    <row r="664" spans="1:4" hidden="1" x14ac:dyDescent="0.3">
      <c r="A664" t="s">
        <v>456</v>
      </c>
      <c r="B664" t="s">
        <v>1306</v>
      </c>
      <c r="C664" t="s">
        <v>61</v>
      </c>
      <c r="D664" t="s">
        <v>1176</v>
      </c>
    </row>
    <row r="665" spans="1:4" hidden="1" x14ac:dyDescent="0.3">
      <c r="A665" t="s">
        <v>456</v>
      </c>
      <c r="B665" t="s">
        <v>1306</v>
      </c>
      <c r="C665" t="s">
        <v>61</v>
      </c>
      <c r="D665" t="s">
        <v>1177</v>
      </c>
    </row>
    <row r="666" spans="1:4" hidden="1" x14ac:dyDescent="0.3">
      <c r="A666" t="s">
        <v>456</v>
      </c>
      <c r="B666" t="s">
        <v>1306</v>
      </c>
      <c r="C666" t="s">
        <v>61</v>
      </c>
      <c r="D666" t="s">
        <v>1178</v>
      </c>
    </row>
    <row r="667" spans="1:4" hidden="1" x14ac:dyDescent="0.3">
      <c r="A667" t="s">
        <v>456</v>
      </c>
      <c r="B667" t="s">
        <v>1306</v>
      </c>
      <c r="C667" t="s">
        <v>61</v>
      </c>
      <c r="D667" t="s">
        <v>1179</v>
      </c>
    </row>
    <row r="668" spans="1:4" hidden="1" x14ac:dyDescent="0.3">
      <c r="A668" t="s">
        <v>456</v>
      </c>
      <c r="B668" t="s">
        <v>1306</v>
      </c>
      <c r="C668" t="s">
        <v>61</v>
      </c>
      <c r="D668" t="s">
        <v>1180</v>
      </c>
    </row>
    <row r="669" spans="1:4" hidden="1" x14ac:dyDescent="0.3">
      <c r="A669" t="s">
        <v>456</v>
      </c>
      <c r="B669" t="s">
        <v>1306</v>
      </c>
      <c r="C669" t="s">
        <v>61</v>
      </c>
      <c r="D669" t="s">
        <v>1181</v>
      </c>
    </row>
    <row r="670" spans="1:4" hidden="1" x14ac:dyDescent="0.3">
      <c r="A670" t="s">
        <v>456</v>
      </c>
      <c r="B670" t="s">
        <v>1307</v>
      </c>
      <c r="C670" t="s">
        <v>61</v>
      </c>
      <c r="D670" t="s">
        <v>1171</v>
      </c>
    </row>
    <row r="671" spans="1:4" hidden="1" x14ac:dyDescent="0.3">
      <c r="A671" t="s">
        <v>456</v>
      </c>
      <c r="B671" t="s">
        <v>1307</v>
      </c>
      <c r="C671" t="s">
        <v>61</v>
      </c>
      <c r="D671" t="s">
        <v>1172</v>
      </c>
    </row>
    <row r="672" spans="1:4" hidden="1" x14ac:dyDescent="0.3">
      <c r="A672" t="s">
        <v>456</v>
      </c>
      <c r="B672" t="s">
        <v>1307</v>
      </c>
      <c r="C672" t="s">
        <v>61</v>
      </c>
      <c r="D672" t="s">
        <v>1173</v>
      </c>
    </row>
    <row r="673" spans="1:4" hidden="1" x14ac:dyDescent="0.3">
      <c r="A673" t="s">
        <v>456</v>
      </c>
      <c r="B673" t="s">
        <v>1307</v>
      </c>
      <c r="C673" t="s">
        <v>61</v>
      </c>
      <c r="D673" t="s">
        <v>1174</v>
      </c>
    </row>
    <row r="674" spans="1:4" hidden="1" x14ac:dyDescent="0.3">
      <c r="A674" t="s">
        <v>456</v>
      </c>
      <c r="B674" t="s">
        <v>1307</v>
      </c>
      <c r="C674" t="s">
        <v>61</v>
      </c>
      <c r="D674" t="s">
        <v>1175</v>
      </c>
    </row>
    <row r="675" spans="1:4" hidden="1" x14ac:dyDescent="0.3">
      <c r="A675" t="s">
        <v>456</v>
      </c>
      <c r="B675" t="s">
        <v>1307</v>
      </c>
      <c r="C675" t="s">
        <v>61</v>
      </c>
      <c r="D675" t="s">
        <v>1176</v>
      </c>
    </row>
    <row r="676" spans="1:4" hidden="1" x14ac:dyDescent="0.3">
      <c r="A676" t="s">
        <v>456</v>
      </c>
      <c r="B676" t="s">
        <v>1307</v>
      </c>
      <c r="C676" t="s">
        <v>61</v>
      </c>
      <c r="D676" t="s">
        <v>1177</v>
      </c>
    </row>
    <row r="677" spans="1:4" hidden="1" x14ac:dyDescent="0.3">
      <c r="A677" t="s">
        <v>456</v>
      </c>
      <c r="B677" t="s">
        <v>1307</v>
      </c>
      <c r="C677" t="s">
        <v>61</v>
      </c>
      <c r="D677" t="s">
        <v>1178</v>
      </c>
    </row>
    <row r="678" spans="1:4" hidden="1" x14ac:dyDescent="0.3">
      <c r="A678" t="s">
        <v>456</v>
      </c>
      <c r="B678" t="s">
        <v>1307</v>
      </c>
      <c r="C678" t="s">
        <v>61</v>
      </c>
      <c r="D678" t="s">
        <v>1179</v>
      </c>
    </row>
    <row r="679" spans="1:4" hidden="1" x14ac:dyDescent="0.3">
      <c r="A679" t="s">
        <v>456</v>
      </c>
      <c r="B679" t="s">
        <v>1307</v>
      </c>
      <c r="C679" t="s">
        <v>61</v>
      </c>
      <c r="D679" t="s">
        <v>1180</v>
      </c>
    </row>
    <row r="680" spans="1:4" hidden="1" x14ac:dyDescent="0.3">
      <c r="A680" t="s">
        <v>456</v>
      </c>
      <c r="B680" t="s">
        <v>1307</v>
      </c>
      <c r="C680" t="s">
        <v>61</v>
      </c>
      <c r="D680" t="s">
        <v>1181</v>
      </c>
    </row>
    <row r="681" spans="1:4" hidden="1" x14ac:dyDescent="0.3">
      <c r="A681" t="s">
        <v>515</v>
      </c>
      <c r="B681" t="s">
        <v>1308</v>
      </c>
      <c r="C681" t="s">
        <v>1169</v>
      </c>
      <c r="D681" t="s">
        <v>1170</v>
      </c>
    </row>
    <row r="682" spans="1:4" hidden="1" x14ac:dyDescent="0.3">
      <c r="A682" t="s">
        <v>515</v>
      </c>
      <c r="B682" t="s">
        <v>1308</v>
      </c>
      <c r="C682" t="s">
        <v>1169</v>
      </c>
      <c r="D682" t="s">
        <v>1171</v>
      </c>
    </row>
    <row r="683" spans="1:4" hidden="1" x14ac:dyDescent="0.3">
      <c r="A683" t="s">
        <v>515</v>
      </c>
      <c r="B683" t="s">
        <v>1308</v>
      </c>
      <c r="C683" t="s">
        <v>1169</v>
      </c>
      <c r="D683" t="s">
        <v>1172</v>
      </c>
    </row>
    <row r="684" spans="1:4" hidden="1" x14ac:dyDescent="0.3">
      <c r="A684" t="s">
        <v>515</v>
      </c>
      <c r="B684" t="s">
        <v>1308</v>
      </c>
      <c r="C684" t="s">
        <v>1169</v>
      </c>
      <c r="D684" t="s">
        <v>1173</v>
      </c>
    </row>
    <row r="685" spans="1:4" hidden="1" x14ac:dyDescent="0.3">
      <c r="A685" t="s">
        <v>515</v>
      </c>
      <c r="B685" t="s">
        <v>1308</v>
      </c>
      <c r="C685" t="s">
        <v>1169</v>
      </c>
      <c r="D685" t="s">
        <v>1174</v>
      </c>
    </row>
    <row r="686" spans="1:4" hidden="1" x14ac:dyDescent="0.3">
      <c r="A686" t="s">
        <v>515</v>
      </c>
      <c r="B686" t="s">
        <v>1308</v>
      </c>
      <c r="C686" t="s">
        <v>1169</v>
      </c>
      <c r="D686" t="s">
        <v>1175</v>
      </c>
    </row>
    <row r="687" spans="1:4" hidden="1" x14ac:dyDescent="0.3">
      <c r="A687" t="s">
        <v>515</v>
      </c>
      <c r="B687" t="s">
        <v>1308</v>
      </c>
      <c r="C687" t="s">
        <v>1169</v>
      </c>
      <c r="D687" t="s">
        <v>1176</v>
      </c>
    </row>
    <row r="688" spans="1:4" hidden="1" x14ac:dyDescent="0.3">
      <c r="A688" t="s">
        <v>515</v>
      </c>
      <c r="B688" t="s">
        <v>1308</v>
      </c>
      <c r="C688" t="s">
        <v>1169</v>
      </c>
      <c r="D688" t="s">
        <v>1177</v>
      </c>
    </row>
    <row r="689" spans="1:4" hidden="1" x14ac:dyDescent="0.3">
      <c r="A689" t="s">
        <v>515</v>
      </c>
      <c r="B689" t="s">
        <v>1308</v>
      </c>
      <c r="C689" t="s">
        <v>1169</v>
      </c>
      <c r="D689" t="s">
        <v>1178</v>
      </c>
    </row>
    <row r="690" spans="1:4" hidden="1" x14ac:dyDescent="0.3">
      <c r="A690" t="s">
        <v>515</v>
      </c>
      <c r="B690" t="s">
        <v>1308</v>
      </c>
      <c r="C690" t="s">
        <v>1169</v>
      </c>
      <c r="D690" t="s">
        <v>1179</v>
      </c>
    </row>
    <row r="691" spans="1:4" hidden="1" x14ac:dyDescent="0.3">
      <c r="A691" t="s">
        <v>515</v>
      </c>
      <c r="B691" t="s">
        <v>1308</v>
      </c>
      <c r="C691" t="s">
        <v>1169</v>
      </c>
      <c r="D691" t="s">
        <v>1180</v>
      </c>
    </row>
    <row r="692" spans="1:4" hidden="1" x14ac:dyDescent="0.3">
      <c r="A692" t="s">
        <v>515</v>
      </c>
      <c r="B692" t="s">
        <v>1308</v>
      </c>
      <c r="C692" t="s">
        <v>1169</v>
      </c>
      <c r="D692" t="s">
        <v>1181</v>
      </c>
    </row>
    <row r="693" spans="1:4" hidden="1" x14ac:dyDescent="0.3">
      <c r="A693" t="s">
        <v>515</v>
      </c>
      <c r="B693" t="s">
        <v>1309</v>
      </c>
      <c r="C693" t="s">
        <v>1251</v>
      </c>
      <c r="D693" t="s">
        <v>1170</v>
      </c>
    </row>
    <row r="694" spans="1:4" hidden="1" x14ac:dyDescent="0.3">
      <c r="A694" t="s">
        <v>515</v>
      </c>
      <c r="B694" t="s">
        <v>1309</v>
      </c>
      <c r="C694" t="s">
        <v>1251</v>
      </c>
      <c r="D694" t="s">
        <v>1171</v>
      </c>
    </row>
    <row r="695" spans="1:4" hidden="1" x14ac:dyDescent="0.3">
      <c r="A695" t="s">
        <v>515</v>
      </c>
      <c r="B695" t="s">
        <v>1309</v>
      </c>
      <c r="C695" t="s">
        <v>1251</v>
      </c>
      <c r="D695" t="s">
        <v>1172</v>
      </c>
    </row>
    <row r="696" spans="1:4" hidden="1" x14ac:dyDescent="0.3">
      <c r="A696" t="s">
        <v>515</v>
      </c>
      <c r="B696" t="s">
        <v>1309</v>
      </c>
      <c r="C696" t="s">
        <v>1251</v>
      </c>
      <c r="D696" t="s">
        <v>1173</v>
      </c>
    </row>
    <row r="697" spans="1:4" hidden="1" x14ac:dyDescent="0.3">
      <c r="A697" t="s">
        <v>515</v>
      </c>
      <c r="B697" t="s">
        <v>1309</v>
      </c>
      <c r="C697" t="s">
        <v>1251</v>
      </c>
      <c r="D697" t="s">
        <v>1174</v>
      </c>
    </row>
    <row r="698" spans="1:4" hidden="1" x14ac:dyDescent="0.3">
      <c r="A698" t="s">
        <v>515</v>
      </c>
      <c r="B698" t="s">
        <v>1309</v>
      </c>
      <c r="C698" t="s">
        <v>1251</v>
      </c>
      <c r="D698" t="s">
        <v>1175</v>
      </c>
    </row>
    <row r="699" spans="1:4" hidden="1" x14ac:dyDescent="0.3">
      <c r="A699" t="s">
        <v>515</v>
      </c>
      <c r="B699" t="s">
        <v>1309</v>
      </c>
      <c r="C699" t="s">
        <v>1251</v>
      </c>
      <c r="D699" t="s">
        <v>1176</v>
      </c>
    </row>
    <row r="700" spans="1:4" hidden="1" x14ac:dyDescent="0.3">
      <c r="A700" t="s">
        <v>515</v>
      </c>
      <c r="B700" t="s">
        <v>1309</v>
      </c>
      <c r="C700" t="s">
        <v>1251</v>
      </c>
      <c r="D700" t="s">
        <v>1177</v>
      </c>
    </row>
    <row r="701" spans="1:4" hidden="1" x14ac:dyDescent="0.3">
      <c r="A701" t="s">
        <v>515</v>
      </c>
      <c r="B701" t="s">
        <v>1309</v>
      </c>
      <c r="C701" t="s">
        <v>1251</v>
      </c>
      <c r="D701" t="s">
        <v>1178</v>
      </c>
    </row>
    <row r="702" spans="1:4" hidden="1" x14ac:dyDescent="0.3">
      <c r="A702" t="s">
        <v>515</v>
      </c>
      <c r="B702" t="s">
        <v>1309</v>
      </c>
      <c r="C702" t="s">
        <v>1251</v>
      </c>
      <c r="D702" t="s">
        <v>1179</v>
      </c>
    </row>
    <row r="703" spans="1:4" hidden="1" x14ac:dyDescent="0.3">
      <c r="A703" t="s">
        <v>515</v>
      </c>
      <c r="B703" t="s">
        <v>1309</v>
      </c>
      <c r="C703" t="s">
        <v>1251</v>
      </c>
      <c r="D703" t="s">
        <v>1180</v>
      </c>
    </row>
    <row r="704" spans="1:4" hidden="1" x14ac:dyDescent="0.3">
      <c r="A704" t="s">
        <v>515</v>
      </c>
      <c r="B704" t="s">
        <v>1309</v>
      </c>
      <c r="C704" t="s">
        <v>1251</v>
      </c>
      <c r="D704" t="s">
        <v>1181</v>
      </c>
    </row>
    <row r="705" spans="1:4" hidden="1" x14ac:dyDescent="0.3">
      <c r="A705" t="s">
        <v>515</v>
      </c>
      <c r="B705" t="s">
        <v>1310</v>
      </c>
      <c r="C705" t="s">
        <v>61</v>
      </c>
      <c r="D705" t="s">
        <v>1170</v>
      </c>
    </row>
    <row r="706" spans="1:4" hidden="1" x14ac:dyDescent="0.3">
      <c r="A706" t="s">
        <v>515</v>
      </c>
      <c r="B706" t="s">
        <v>1310</v>
      </c>
      <c r="C706" t="s">
        <v>61</v>
      </c>
      <c r="D706" t="s">
        <v>1171</v>
      </c>
    </row>
    <row r="707" spans="1:4" hidden="1" x14ac:dyDescent="0.3">
      <c r="A707" t="s">
        <v>515</v>
      </c>
      <c r="B707" t="s">
        <v>1310</v>
      </c>
      <c r="C707" t="s">
        <v>61</v>
      </c>
      <c r="D707" t="s">
        <v>1172</v>
      </c>
    </row>
    <row r="708" spans="1:4" hidden="1" x14ac:dyDescent="0.3">
      <c r="A708" t="s">
        <v>515</v>
      </c>
      <c r="B708" t="s">
        <v>1310</v>
      </c>
      <c r="C708" t="s">
        <v>61</v>
      </c>
      <c r="D708" t="s">
        <v>1173</v>
      </c>
    </row>
    <row r="709" spans="1:4" hidden="1" x14ac:dyDescent="0.3">
      <c r="A709" t="s">
        <v>515</v>
      </c>
      <c r="B709" t="s">
        <v>1310</v>
      </c>
      <c r="C709" t="s">
        <v>61</v>
      </c>
      <c r="D709" t="s">
        <v>1174</v>
      </c>
    </row>
    <row r="710" spans="1:4" hidden="1" x14ac:dyDescent="0.3">
      <c r="A710" t="s">
        <v>515</v>
      </c>
      <c r="B710" t="s">
        <v>1310</v>
      </c>
      <c r="C710" t="s">
        <v>61</v>
      </c>
      <c r="D710" t="s">
        <v>1175</v>
      </c>
    </row>
    <row r="711" spans="1:4" hidden="1" x14ac:dyDescent="0.3">
      <c r="A711" t="s">
        <v>515</v>
      </c>
      <c r="B711" t="s">
        <v>1310</v>
      </c>
      <c r="C711" t="s">
        <v>61</v>
      </c>
      <c r="D711" t="s">
        <v>1176</v>
      </c>
    </row>
    <row r="712" spans="1:4" hidden="1" x14ac:dyDescent="0.3">
      <c r="A712" t="s">
        <v>515</v>
      </c>
      <c r="B712" t="s">
        <v>1310</v>
      </c>
      <c r="C712" t="s">
        <v>61</v>
      </c>
      <c r="D712" t="s">
        <v>1177</v>
      </c>
    </row>
    <row r="713" spans="1:4" hidden="1" x14ac:dyDescent="0.3">
      <c r="A713" t="s">
        <v>515</v>
      </c>
      <c r="B713" t="s">
        <v>1310</v>
      </c>
      <c r="C713" t="s">
        <v>61</v>
      </c>
      <c r="D713" t="s">
        <v>1178</v>
      </c>
    </row>
    <row r="714" spans="1:4" hidden="1" x14ac:dyDescent="0.3">
      <c r="A714" t="s">
        <v>515</v>
      </c>
      <c r="B714" t="s">
        <v>1310</v>
      </c>
      <c r="C714" t="s">
        <v>61</v>
      </c>
      <c r="D714" t="s">
        <v>1179</v>
      </c>
    </row>
    <row r="715" spans="1:4" hidden="1" x14ac:dyDescent="0.3">
      <c r="A715" t="s">
        <v>515</v>
      </c>
      <c r="B715" t="s">
        <v>1310</v>
      </c>
      <c r="C715" t="s">
        <v>61</v>
      </c>
      <c r="D715" t="s">
        <v>1180</v>
      </c>
    </row>
    <row r="716" spans="1:4" hidden="1" x14ac:dyDescent="0.3">
      <c r="A716" t="s">
        <v>515</v>
      </c>
      <c r="B716" t="s">
        <v>1310</v>
      </c>
      <c r="C716" t="s">
        <v>61</v>
      </c>
      <c r="D716" t="s">
        <v>1181</v>
      </c>
    </row>
    <row r="717" spans="1:4" hidden="1" x14ac:dyDescent="0.3">
      <c r="A717" t="s">
        <v>515</v>
      </c>
      <c r="B717" t="s">
        <v>1311</v>
      </c>
      <c r="C717" t="s">
        <v>61</v>
      </c>
      <c r="D717" t="s">
        <v>1170</v>
      </c>
    </row>
    <row r="718" spans="1:4" hidden="1" x14ac:dyDescent="0.3">
      <c r="A718" t="s">
        <v>515</v>
      </c>
      <c r="B718" t="s">
        <v>1311</v>
      </c>
      <c r="C718" t="s">
        <v>61</v>
      </c>
      <c r="D718" t="s">
        <v>1171</v>
      </c>
    </row>
    <row r="719" spans="1:4" hidden="1" x14ac:dyDescent="0.3">
      <c r="A719" t="s">
        <v>515</v>
      </c>
      <c r="B719" t="s">
        <v>1311</v>
      </c>
      <c r="C719" t="s">
        <v>61</v>
      </c>
      <c r="D719" t="s">
        <v>1172</v>
      </c>
    </row>
    <row r="720" spans="1:4" hidden="1" x14ac:dyDescent="0.3">
      <c r="A720" t="s">
        <v>515</v>
      </c>
      <c r="B720" t="s">
        <v>1311</v>
      </c>
      <c r="C720" t="s">
        <v>61</v>
      </c>
      <c r="D720" t="s">
        <v>1173</v>
      </c>
    </row>
    <row r="721" spans="1:4" hidden="1" x14ac:dyDescent="0.3">
      <c r="A721" t="s">
        <v>515</v>
      </c>
      <c r="B721" t="s">
        <v>1311</v>
      </c>
      <c r="C721" t="s">
        <v>61</v>
      </c>
      <c r="D721" t="s">
        <v>1174</v>
      </c>
    </row>
    <row r="722" spans="1:4" hidden="1" x14ac:dyDescent="0.3">
      <c r="A722" t="s">
        <v>515</v>
      </c>
      <c r="B722" t="s">
        <v>1311</v>
      </c>
      <c r="C722" t="s">
        <v>61</v>
      </c>
      <c r="D722" t="s">
        <v>1175</v>
      </c>
    </row>
    <row r="723" spans="1:4" hidden="1" x14ac:dyDescent="0.3">
      <c r="A723" t="s">
        <v>515</v>
      </c>
      <c r="B723" t="s">
        <v>1311</v>
      </c>
      <c r="C723" t="s">
        <v>61</v>
      </c>
      <c r="D723" t="s">
        <v>1176</v>
      </c>
    </row>
    <row r="724" spans="1:4" hidden="1" x14ac:dyDescent="0.3">
      <c r="A724" t="s">
        <v>515</v>
      </c>
      <c r="B724" t="s">
        <v>1311</v>
      </c>
      <c r="C724" t="s">
        <v>61</v>
      </c>
      <c r="D724" t="s">
        <v>1177</v>
      </c>
    </row>
    <row r="725" spans="1:4" hidden="1" x14ac:dyDescent="0.3">
      <c r="A725" t="s">
        <v>515</v>
      </c>
      <c r="B725" t="s">
        <v>1311</v>
      </c>
      <c r="C725" t="s">
        <v>61</v>
      </c>
      <c r="D725" t="s">
        <v>1178</v>
      </c>
    </row>
    <row r="726" spans="1:4" hidden="1" x14ac:dyDescent="0.3">
      <c r="A726" t="s">
        <v>515</v>
      </c>
      <c r="B726" t="s">
        <v>1311</v>
      </c>
      <c r="C726" t="s">
        <v>61</v>
      </c>
      <c r="D726" t="s">
        <v>1179</v>
      </c>
    </row>
    <row r="727" spans="1:4" hidden="1" x14ac:dyDescent="0.3">
      <c r="A727" t="s">
        <v>515</v>
      </c>
      <c r="B727" t="s">
        <v>1311</v>
      </c>
      <c r="C727" t="s">
        <v>61</v>
      </c>
      <c r="D727" t="s">
        <v>1180</v>
      </c>
    </row>
    <row r="728" spans="1:4" hidden="1" x14ac:dyDescent="0.3">
      <c r="A728" t="s">
        <v>515</v>
      </c>
      <c r="B728" t="s">
        <v>1311</v>
      </c>
      <c r="C728" t="s">
        <v>61</v>
      </c>
      <c r="D728" t="s">
        <v>1181</v>
      </c>
    </row>
    <row r="729" spans="1:4" hidden="1" x14ac:dyDescent="0.3">
      <c r="A729" t="s">
        <v>515</v>
      </c>
      <c r="B729" t="s">
        <v>1312</v>
      </c>
      <c r="C729" t="s">
        <v>61</v>
      </c>
      <c r="D729" t="s">
        <v>1170</v>
      </c>
    </row>
    <row r="730" spans="1:4" hidden="1" x14ac:dyDescent="0.3">
      <c r="A730" t="s">
        <v>515</v>
      </c>
      <c r="B730" t="s">
        <v>1312</v>
      </c>
      <c r="C730" t="s">
        <v>61</v>
      </c>
      <c r="D730" t="s">
        <v>1171</v>
      </c>
    </row>
    <row r="731" spans="1:4" hidden="1" x14ac:dyDescent="0.3">
      <c r="A731" t="s">
        <v>515</v>
      </c>
      <c r="B731" t="s">
        <v>1312</v>
      </c>
      <c r="C731" t="s">
        <v>61</v>
      </c>
      <c r="D731" t="s">
        <v>1172</v>
      </c>
    </row>
    <row r="732" spans="1:4" hidden="1" x14ac:dyDescent="0.3">
      <c r="A732" t="s">
        <v>515</v>
      </c>
      <c r="B732" t="s">
        <v>1312</v>
      </c>
      <c r="C732" t="s">
        <v>61</v>
      </c>
      <c r="D732" t="s">
        <v>1173</v>
      </c>
    </row>
    <row r="733" spans="1:4" hidden="1" x14ac:dyDescent="0.3">
      <c r="A733" t="s">
        <v>515</v>
      </c>
      <c r="B733" t="s">
        <v>1312</v>
      </c>
      <c r="C733" t="s">
        <v>61</v>
      </c>
      <c r="D733" t="s">
        <v>1174</v>
      </c>
    </row>
    <row r="734" spans="1:4" hidden="1" x14ac:dyDescent="0.3">
      <c r="A734" t="s">
        <v>515</v>
      </c>
      <c r="B734" t="s">
        <v>1312</v>
      </c>
      <c r="C734" t="s">
        <v>61</v>
      </c>
      <c r="D734" t="s">
        <v>1175</v>
      </c>
    </row>
    <row r="735" spans="1:4" hidden="1" x14ac:dyDescent="0.3">
      <c r="A735" t="s">
        <v>515</v>
      </c>
      <c r="B735" t="s">
        <v>1312</v>
      </c>
      <c r="C735" t="s">
        <v>61</v>
      </c>
      <c r="D735" t="s">
        <v>1176</v>
      </c>
    </row>
    <row r="736" spans="1:4" hidden="1" x14ac:dyDescent="0.3">
      <c r="A736" t="s">
        <v>515</v>
      </c>
      <c r="B736" t="s">
        <v>1312</v>
      </c>
      <c r="C736" t="s">
        <v>61</v>
      </c>
      <c r="D736" t="s">
        <v>1177</v>
      </c>
    </row>
    <row r="737" spans="1:4" hidden="1" x14ac:dyDescent="0.3">
      <c r="A737" t="s">
        <v>515</v>
      </c>
      <c r="B737" t="s">
        <v>1312</v>
      </c>
      <c r="C737" t="s">
        <v>61</v>
      </c>
      <c r="D737" t="s">
        <v>1178</v>
      </c>
    </row>
    <row r="738" spans="1:4" hidden="1" x14ac:dyDescent="0.3">
      <c r="A738" t="s">
        <v>515</v>
      </c>
      <c r="B738" t="s">
        <v>1312</v>
      </c>
      <c r="C738" t="s">
        <v>61</v>
      </c>
      <c r="D738" t="s">
        <v>1179</v>
      </c>
    </row>
    <row r="739" spans="1:4" hidden="1" x14ac:dyDescent="0.3">
      <c r="A739" t="s">
        <v>515</v>
      </c>
      <c r="B739" t="s">
        <v>1312</v>
      </c>
      <c r="C739" t="s">
        <v>61</v>
      </c>
      <c r="D739" t="s">
        <v>1180</v>
      </c>
    </row>
    <row r="740" spans="1:4" hidden="1" x14ac:dyDescent="0.3">
      <c r="A740" t="s">
        <v>515</v>
      </c>
      <c r="B740" t="s">
        <v>1312</v>
      </c>
      <c r="C740" t="s">
        <v>61</v>
      </c>
      <c r="D740" t="s">
        <v>1181</v>
      </c>
    </row>
    <row r="741" spans="1:4" hidden="1" x14ac:dyDescent="0.3">
      <c r="A741" t="s">
        <v>461</v>
      </c>
      <c r="B741" t="s">
        <v>1313</v>
      </c>
      <c r="C741" t="s">
        <v>1169</v>
      </c>
      <c r="D741" t="s">
        <v>1170</v>
      </c>
    </row>
    <row r="742" spans="1:4" hidden="1" x14ac:dyDescent="0.3">
      <c r="A742" t="s">
        <v>461</v>
      </c>
      <c r="B742" t="s">
        <v>1313</v>
      </c>
      <c r="C742" t="s">
        <v>1169</v>
      </c>
      <c r="D742" t="s">
        <v>1171</v>
      </c>
    </row>
    <row r="743" spans="1:4" hidden="1" x14ac:dyDescent="0.3">
      <c r="A743" t="s">
        <v>461</v>
      </c>
      <c r="B743" t="s">
        <v>1313</v>
      </c>
      <c r="C743" t="s">
        <v>1169</v>
      </c>
      <c r="D743" t="s">
        <v>1172</v>
      </c>
    </row>
    <row r="744" spans="1:4" hidden="1" x14ac:dyDescent="0.3">
      <c r="A744" t="s">
        <v>461</v>
      </c>
      <c r="B744" t="s">
        <v>1313</v>
      </c>
      <c r="C744" t="s">
        <v>1169</v>
      </c>
      <c r="D744" t="s">
        <v>1173</v>
      </c>
    </row>
    <row r="745" spans="1:4" hidden="1" x14ac:dyDescent="0.3">
      <c r="A745" t="s">
        <v>461</v>
      </c>
      <c r="B745" t="s">
        <v>1313</v>
      </c>
      <c r="C745" t="s">
        <v>1169</v>
      </c>
      <c r="D745" t="s">
        <v>1174</v>
      </c>
    </row>
    <row r="746" spans="1:4" hidden="1" x14ac:dyDescent="0.3">
      <c r="A746" t="s">
        <v>461</v>
      </c>
      <c r="B746" t="s">
        <v>1313</v>
      </c>
      <c r="C746" t="s">
        <v>1169</v>
      </c>
      <c r="D746" t="s">
        <v>1175</v>
      </c>
    </row>
    <row r="747" spans="1:4" hidden="1" x14ac:dyDescent="0.3">
      <c r="A747" t="s">
        <v>461</v>
      </c>
      <c r="B747" t="s">
        <v>1313</v>
      </c>
      <c r="C747" t="s">
        <v>1169</v>
      </c>
      <c r="D747" t="s">
        <v>1176</v>
      </c>
    </row>
    <row r="748" spans="1:4" hidden="1" x14ac:dyDescent="0.3">
      <c r="A748" t="s">
        <v>461</v>
      </c>
      <c r="B748" t="s">
        <v>1313</v>
      </c>
      <c r="C748" t="s">
        <v>1169</v>
      </c>
      <c r="D748" t="s">
        <v>1177</v>
      </c>
    </row>
    <row r="749" spans="1:4" hidden="1" x14ac:dyDescent="0.3">
      <c r="A749" t="s">
        <v>461</v>
      </c>
      <c r="B749" t="s">
        <v>1313</v>
      </c>
      <c r="C749" t="s">
        <v>1169</v>
      </c>
      <c r="D749" t="s">
        <v>1178</v>
      </c>
    </row>
    <row r="750" spans="1:4" hidden="1" x14ac:dyDescent="0.3">
      <c r="A750" t="s">
        <v>461</v>
      </c>
      <c r="B750" t="s">
        <v>1313</v>
      </c>
      <c r="C750" t="s">
        <v>1169</v>
      </c>
      <c r="D750" t="s">
        <v>1179</v>
      </c>
    </row>
    <row r="751" spans="1:4" hidden="1" x14ac:dyDescent="0.3">
      <c r="A751" t="s">
        <v>461</v>
      </c>
      <c r="B751" t="s">
        <v>1313</v>
      </c>
      <c r="C751" t="s">
        <v>1169</v>
      </c>
      <c r="D751" t="s">
        <v>1180</v>
      </c>
    </row>
    <row r="752" spans="1:4" hidden="1" x14ac:dyDescent="0.3">
      <c r="A752" t="s">
        <v>461</v>
      </c>
      <c r="B752" t="s">
        <v>1313</v>
      </c>
      <c r="C752" t="s">
        <v>1169</v>
      </c>
      <c r="D752" t="s">
        <v>1181</v>
      </c>
    </row>
    <row r="753" spans="1:7" hidden="1" x14ac:dyDescent="0.3">
      <c r="A753" t="s">
        <v>461</v>
      </c>
      <c r="B753" t="s">
        <v>1314</v>
      </c>
      <c r="C753" t="s">
        <v>1251</v>
      </c>
      <c r="D753" t="s">
        <v>1170</v>
      </c>
    </row>
    <row r="754" spans="1:7" hidden="1" x14ac:dyDescent="0.3">
      <c r="A754" t="s">
        <v>461</v>
      </c>
      <c r="B754" t="s">
        <v>1314</v>
      </c>
      <c r="C754" t="s">
        <v>1251</v>
      </c>
      <c r="D754" t="s">
        <v>1171</v>
      </c>
    </row>
    <row r="755" spans="1:7" hidden="1" x14ac:dyDescent="0.3">
      <c r="A755" t="s">
        <v>461</v>
      </c>
      <c r="B755" t="s">
        <v>1314</v>
      </c>
      <c r="C755" t="s">
        <v>1251</v>
      </c>
      <c r="D755" t="s">
        <v>1172</v>
      </c>
    </row>
    <row r="756" spans="1:7" hidden="1" x14ac:dyDescent="0.3">
      <c r="A756" t="s">
        <v>461</v>
      </c>
      <c r="B756" t="s">
        <v>1314</v>
      </c>
      <c r="C756" t="s">
        <v>1251</v>
      </c>
      <c r="D756" t="s">
        <v>1173</v>
      </c>
    </row>
    <row r="757" spans="1:7" hidden="1" x14ac:dyDescent="0.3">
      <c r="A757" t="s">
        <v>461</v>
      </c>
      <c r="B757" t="s">
        <v>1314</v>
      </c>
      <c r="C757" t="s">
        <v>1251</v>
      </c>
      <c r="D757" t="s">
        <v>1174</v>
      </c>
    </row>
    <row r="758" spans="1:7" hidden="1" x14ac:dyDescent="0.3">
      <c r="A758" t="s">
        <v>461</v>
      </c>
      <c r="B758" t="s">
        <v>1314</v>
      </c>
      <c r="C758" t="s">
        <v>1251</v>
      </c>
      <c r="D758" t="s">
        <v>1175</v>
      </c>
    </row>
    <row r="759" spans="1:7" hidden="1" x14ac:dyDescent="0.3">
      <c r="A759" t="s">
        <v>461</v>
      </c>
      <c r="B759" t="s">
        <v>1314</v>
      </c>
      <c r="C759" t="s">
        <v>1251</v>
      </c>
      <c r="D759" t="s">
        <v>1176</v>
      </c>
    </row>
    <row r="760" spans="1:7" hidden="1" x14ac:dyDescent="0.3">
      <c r="A760" t="s">
        <v>461</v>
      </c>
      <c r="B760" t="s">
        <v>1314</v>
      </c>
      <c r="C760" t="s">
        <v>1251</v>
      </c>
      <c r="D760" t="s">
        <v>1177</v>
      </c>
    </row>
    <row r="761" spans="1:7" hidden="1" x14ac:dyDescent="0.3">
      <c r="A761" t="s">
        <v>461</v>
      </c>
      <c r="B761" t="s">
        <v>1314</v>
      </c>
      <c r="C761" t="s">
        <v>1251</v>
      </c>
      <c r="D761" t="s">
        <v>1178</v>
      </c>
    </row>
    <row r="762" spans="1:7" hidden="1" x14ac:dyDescent="0.3">
      <c r="A762" t="s">
        <v>461</v>
      </c>
      <c r="B762" t="s">
        <v>1314</v>
      </c>
      <c r="C762" t="s">
        <v>1251</v>
      </c>
      <c r="D762" t="s">
        <v>1179</v>
      </c>
    </row>
    <row r="763" spans="1:7" hidden="1" x14ac:dyDescent="0.3">
      <c r="A763" t="s">
        <v>461</v>
      </c>
      <c r="B763" t="s">
        <v>1314</v>
      </c>
      <c r="C763" t="s">
        <v>1251</v>
      </c>
      <c r="D763" t="s">
        <v>1180</v>
      </c>
    </row>
    <row r="764" spans="1:7" hidden="1" x14ac:dyDescent="0.3">
      <c r="A764" t="s">
        <v>461</v>
      </c>
      <c r="B764" t="s">
        <v>1314</v>
      </c>
      <c r="C764" t="s">
        <v>1251</v>
      </c>
      <c r="D764" t="s">
        <v>1181</v>
      </c>
    </row>
    <row r="765" spans="1:7" x14ac:dyDescent="0.3">
      <c r="A765" t="s">
        <v>461</v>
      </c>
      <c r="B765" t="s">
        <v>1315</v>
      </c>
      <c r="C765" t="s">
        <v>54</v>
      </c>
      <c r="D765" t="s">
        <v>1170</v>
      </c>
      <c r="E765" s="377">
        <v>122</v>
      </c>
      <c r="F765" s="377">
        <v>122</v>
      </c>
      <c r="G765" s="377">
        <v>0</v>
      </c>
    </row>
    <row r="766" spans="1:7" x14ac:dyDescent="0.3">
      <c r="A766" t="s">
        <v>461</v>
      </c>
      <c r="B766" t="s">
        <v>1315</v>
      </c>
      <c r="C766" t="s">
        <v>54</v>
      </c>
      <c r="D766" t="s">
        <v>1171</v>
      </c>
      <c r="E766" s="377">
        <v>129</v>
      </c>
      <c r="F766" s="377">
        <v>129</v>
      </c>
      <c r="G766" s="377">
        <v>0</v>
      </c>
    </row>
    <row r="767" spans="1:7" x14ac:dyDescent="0.3">
      <c r="A767" t="s">
        <v>461</v>
      </c>
      <c r="B767" t="s">
        <v>1315</v>
      </c>
      <c r="C767" t="s">
        <v>54</v>
      </c>
      <c r="D767" t="s">
        <v>1172</v>
      </c>
      <c r="E767" s="377">
        <v>119</v>
      </c>
      <c r="F767" s="377">
        <v>119</v>
      </c>
      <c r="G767" s="377">
        <v>0</v>
      </c>
    </row>
    <row r="768" spans="1:7" x14ac:dyDescent="0.3">
      <c r="A768" t="s">
        <v>461</v>
      </c>
      <c r="B768" t="s">
        <v>1315</v>
      </c>
      <c r="C768" t="s">
        <v>54</v>
      </c>
      <c r="D768" t="s">
        <v>1173</v>
      </c>
      <c r="E768" s="377">
        <v>22</v>
      </c>
      <c r="F768" s="377">
        <v>22</v>
      </c>
      <c r="G768" s="377">
        <v>0</v>
      </c>
    </row>
    <row r="769" spans="1:7" x14ac:dyDescent="0.3">
      <c r="A769" t="s">
        <v>461</v>
      </c>
      <c r="B769" t="s">
        <v>1315</v>
      </c>
      <c r="C769" t="s">
        <v>54</v>
      </c>
      <c r="D769" t="s">
        <v>1174</v>
      </c>
      <c r="E769" s="377">
        <v>67</v>
      </c>
      <c r="F769" s="377">
        <v>67</v>
      </c>
      <c r="G769" s="377">
        <v>0</v>
      </c>
    </row>
    <row r="770" spans="1:7" x14ac:dyDescent="0.3">
      <c r="A770" t="s">
        <v>461</v>
      </c>
      <c r="B770" t="s">
        <v>1315</v>
      </c>
      <c r="C770" t="s">
        <v>54</v>
      </c>
      <c r="D770" t="s">
        <v>1175</v>
      </c>
      <c r="E770" s="377">
        <v>105</v>
      </c>
      <c r="F770" s="377">
        <v>105</v>
      </c>
      <c r="G770" s="377">
        <v>0</v>
      </c>
    </row>
    <row r="771" spans="1:7" x14ac:dyDescent="0.3">
      <c r="A771" t="s">
        <v>461</v>
      </c>
      <c r="B771" t="s">
        <v>1315</v>
      </c>
      <c r="C771" t="s">
        <v>54</v>
      </c>
      <c r="D771" t="s">
        <v>1176</v>
      </c>
      <c r="E771" s="377">
        <v>116</v>
      </c>
      <c r="F771" s="377">
        <v>116</v>
      </c>
      <c r="G771" s="377">
        <v>0</v>
      </c>
    </row>
    <row r="772" spans="1:7" x14ac:dyDescent="0.3">
      <c r="A772" t="s">
        <v>461</v>
      </c>
      <c r="B772" t="s">
        <v>1315</v>
      </c>
      <c r="C772" t="s">
        <v>54</v>
      </c>
      <c r="D772" t="s">
        <v>1177</v>
      </c>
      <c r="E772" s="377">
        <v>116</v>
      </c>
      <c r="F772" s="377">
        <v>116</v>
      </c>
      <c r="G772" s="377">
        <v>0</v>
      </c>
    </row>
    <row r="773" spans="1:7" x14ac:dyDescent="0.3">
      <c r="A773" t="s">
        <v>461</v>
      </c>
      <c r="B773" t="s">
        <v>1315</v>
      </c>
      <c r="C773" t="s">
        <v>54</v>
      </c>
      <c r="D773" t="s">
        <v>1178</v>
      </c>
      <c r="E773" s="377">
        <v>114</v>
      </c>
      <c r="F773" s="377">
        <v>114</v>
      </c>
      <c r="G773" s="377">
        <v>0</v>
      </c>
    </row>
    <row r="774" spans="1:7" x14ac:dyDescent="0.3">
      <c r="A774" t="s">
        <v>461</v>
      </c>
      <c r="B774" t="s">
        <v>1315</v>
      </c>
      <c r="C774" t="s">
        <v>54</v>
      </c>
      <c r="D774" t="s">
        <v>1179</v>
      </c>
      <c r="E774" s="377">
        <v>144</v>
      </c>
      <c r="F774" s="377">
        <v>144</v>
      </c>
      <c r="G774" s="377">
        <v>0</v>
      </c>
    </row>
    <row r="775" spans="1:7" x14ac:dyDescent="0.3">
      <c r="A775" t="s">
        <v>461</v>
      </c>
      <c r="B775" t="s">
        <v>1315</v>
      </c>
      <c r="C775" t="s">
        <v>54</v>
      </c>
      <c r="D775" t="s">
        <v>1180</v>
      </c>
      <c r="E775" s="377">
        <v>124</v>
      </c>
      <c r="F775" s="377">
        <v>124</v>
      </c>
      <c r="G775" s="377">
        <v>0</v>
      </c>
    </row>
    <row r="776" spans="1:7" x14ac:dyDescent="0.3">
      <c r="A776" t="s">
        <v>461</v>
      </c>
      <c r="B776" t="s">
        <v>1315</v>
      </c>
      <c r="C776" t="s">
        <v>54</v>
      </c>
      <c r="D776" t="s">
        <v>1181</v>
      </c>
      <c r="E776" s="377">
        <v>113</v>
      </c>
      <c r="F776" s="377">
        <v>113</v>
      </c>
      <c r="G776" s="377">
        <v>0</v>
      </c>
    </row>
    <row r="777" spans="1:7" hidden="1" x14ac:dyDescent="0.3">
      <c r="A777" t="s">
        <v>461</v>
      </c>
      <c r="B777" t="s">
        <v>1316</v>
      </c>
      <c r="C777" t="s">
        <v>1169</v>
      </c>
      <c r="D777" t="s">
        <v>1170</v>
      </c>
    </row>
    <row r="778" spans="1:7" hidden="1" x14ac:dyDescent="0.3">
      <c r="A778" t="s">
        <v>461</v>
      </c>
      <c r="B778" t="s">
        <v>1316</v>
      </c>
      <c r="C778" t="s">
        <v>1169</v>
      </c>
      <c r="D778" t="s">
        <v>1171</v>
      </c>
    </row>
    <row r="779" spans="1:7" hidden="1" x14ac:dyDescent="0.3">
      <c r="A779" t="s">
        <v>461</v>
      </c>
      <c r="B779" t="s">
        <v>1316</v>
      </c>
      <c r="C779" t="s">
        <v>1169</v>
      </c>
      <c r="D779" t="s">
        <v>1172</v>
      </c>
    </row>
    <row r="780" spans="1:7" hidden="1" x14ac:dyDescent="0.3">
      <c r="A780" t="s">
        <v>461</v>
      </c>
      <c r="B780" t="s">
        <v>1316</v>
      </c>
      <c r="C780" t="s">
        <v>1169</v>
      </c>
      <c r="D780" t="s">
        <v>1173</v>
      </c>
    </row>
    <row r="781" spans="1:7" hidden="1" x14ac:dyDescent="0.3">
      <c r="A781" t="s">
        <v>461</v>
      </c>
      <c r="B781" t="s">
        <v>1316</v>
      </c>
      <c r="C781" t="s">
        <v>1169</v>
      </c>
      <c r="D781" t="s">
        <v>1174</v>
      </c>
    </row>
    <row r="782" spans="1:7" hidden="1" x14ac:dyDescent="0.3">
      <c r="A782" t="s">
        <v>461</v>
      </c>
      <c r="B782" t="s">
        <v>1316</v>
      </c>
      <c r="C782" t="s">
        <v>1169</v>
      </c>
      <c r="D782" t="s">
        <v>1175</v>
      </c>
    </row>
    <row r="783" spans="1:7" hidden="1" x14ac:dyDescent="0.3">
      <c r="A783" t="s">
        <v>461</v>
      </c>
      <c r="B783" t="s">
        <v>1316</v>
      </c>
      <c r="C783" t="s">
        <v>1169</v>
      </c>
      <c r="D783" t="s">
        <v>1176</v>
      </c>
    </row>
    <row r="784" spans="1:7" hidden="1" x14ac:dyDescent="0.3">
      <c r="A784" t="s">
        <v>461</v>
      </c>
      <c r="B784" t="s">
        <v>1316</v>
      </c>
      <c r="C784" t="s">
        <v>1169</v>
      </c>
      <c r="D784" t="s">
        <v>1177</v>
      </c>
    </row>
    <row r="785" spans="1:4" hidden="1" x14ac:dyDescent="0.3">
      <c r="A785" t="s">
        <v>461</v>
      </c>
      <c r="B785" t="s">
        <v>1316</v>
      </c>
      <c r="C785" t="s">
        <v>1169</v>
      </c>
      <c r="D785" t="s">
        <v>1178</v>
      </c>
    </row>
    <row r="786" spans="1:4" hidden="1" x14ac:dyDescent="0.3">
      <c r="A786" t="s">
        <v>461</v>
      </c>
      <c r="B786" t="s">
        <v>1316</v>
      </c>
      <c r="C786" t="s">
        <v>1169</v>
      </c>
      <c r="D786" t="s">
        <v>1179</v>
      </c>
    </row>
    <row r="787" spans="1:4" hidden="1" x14ac:dyDescent="0.3">
      <c r="A787" t="s">
        <v>461</v>
      </c>
      <c r="B787" t="s">
        <v>1316</v>
      </c>
      <c r="C787" t="s">
        <v>1169</v>
      </c>
      <c r="D787" t="s">
        <v>1180</v>
      </c>
    </row>
    <row r="788" spans="1:4" hidden="1" x14ac:dyDescent="0.3">
      <c r="A788" t="s">
        <v>461</v>
      </c>
      <c r="B788" t="s">
        <v>1316</v>
      </c>
      <c r="C788" t="s">
        <v>1169</v>
      </c>
      <c r="D788" t="s">
        <v>1181</v>
      </c>
    </row>
    <row r="789" spans="1:4" hidden="1" x14ac:dyDescent="0.3">
      <c r="A789" t="s">
        <v>461</v>
      </c>
      <c r="B789" t="s">
        <v>1317</v>
      </c>
      <c r="C789" t="s">
        <v>1169</v>
      </c>
      <c r="D789" t="s">
        <v>1170</v>
      </c>
    </row>
    <row r="790" spans="1:4" hidden="1" x14ac:dyDescent="0.3">
      <c r="A790" t="s">
        <v>461</v>
      </c>
      <c r="B790" t="s">
        <v>1317</v>
      </c>
      <c r="C790" t="s">
        <v>1169</v>
      </c>
      <c r="D790" t="s">
        <v>1171</v>
      </c>
    </row>
    <row r="791" spans="1:4" hidden="1" x14ac:dyDescent="0.3">
      <c r="A791" t="s">
        <v>461</v>
      </c>
      <c r="B791" t="s">
        <v>1317</v>
      </c>
      <c r="C791" t="s">
        <v>1169</v>
      </c>
      <c r="D791" t="s">
        <v>1172</v>
      </c>
    </row>
    <row r="792" spans="1:4" hidden="1" x14ac:dyDescent="0.3">
      <c r="A792" t="s">
        <v>461</v>
      </c>
      <c r="B792" t="s">
        <v>1317</v>
      </c>
      <c r="C792" t="s">
        <v>1169</v>
      </c>
      <c r="D792" t="s">
        <v>1173</v>
      </c>
    </row>
    <row r="793" spans="1:4" hidden="1" x14ac:dyDescent="0.3">
      <c r="A793" t="s">
        <v>461</v>
      </c>
      <c r="B793" t="s">
        <v>1317</v>
      </c>
      <c r="C793" t="s">
        <v>1169</v>
      </c>
      <c r="D793" t="s">
        <v>1174</v>
      </c>
    </row>
    <row r="794" spans="1:4" hidden="1" x14ac:dyDescent="0.3">
      <c r="A794" t="s">
        <v>461</v>
      </c>
      <c r="B794" t="s">
        <v>1317</v>
      </c>
      <c r="C794" t="s">
        <v>1169</v>
      </c>
      <c r="D794" t="s">
        <v>1175</v>
      </c>
    </row>
    <row r="795" spans="1:4" hidden="1" x14ac:dyDescent="0.3">
      <c r="A795" t="s">
        <v>461</v>
      </c>
      <c r="B795" t="s">
        <v>1317</v>
      </c>
      <c r="C795" t="s">
        <v>1169</v>
      </c>
      <c r="D795" t="s">
        <v>1176</v>
      </c>
    </row>
    <row r="796" spans="1:4" hidden="1" x14ac:dyDescent="0.3">
      <c r="A796" t="s">
        <v>461</v>
      </c>
      <c r="B796" t="s">
        <v>1317</v>
      </c>
      <c r="C796" t="s">
        <v>1169</v>
      </c>
      <c r="D796" t="s">
        <v>1177</v>
      </c>
    </row>
    <row r="797" spans="1:4" hidden="1" x14ac:dyDescent="0.3">
      <c r="A797" t="s">
        <v>461</v>
      </c>
      <c r="B797" t="s">
        <v>1317</v>
      </c>
      <c r="C797" t="s">
        <v>1169</v>
      </c>
      <c r="D797" t="s">
        <v>1178</v>
      </c>
    </row>
    <row r="798" spans="1:4" hidden="1" x14ac:dyDescent="0.3">
      <c r="A798" t="s">
        <v>461</v>
      </c>
      <c r="B798" t="s">
        <v>1317</v>
      </c>
      <c r="C798" t="s">
        <v>1169</v>
      </c>
      <c r="D798" t="s">
        <v>1179</v>
      </c>
    </row>
    <row r="799" spans="1:4" hidden="1" x14ac:dyDescent="0.3">
      <c r="A799" t="s">
        <v>461</v>
      </c>
      <c r="B799" t="s">
        <v>1317</v>
      </c>
      <c r="C799" t="s">
        <v>1169</v>
      </c>
      <c r="D799" t="s">
        <v>1180</v>
      </c>
    </row>
    <row r="800" spans="1:4" hidden="1" x14ac:dyDescent="0.3">
      <c r="A800" t="s">
        <v>461</v>
      </c>
      <c r="B800" t="s">
        <v>1317</v>
      </c>
      <c r="C800" t="s">
        <v>1169</v>
      </c>
      <c r="D800" t="s">
        <v>1181</v>
      </c>
    </row>
    <row r="801" spans="1:4" hidden="1" x14ac:dyDescent="0.3">
      <c r="A801" t="s">
        <v>461</v>
      </c>
      <c r="B801" t="s">
        <v>1318</v>
      </c>
      <c r="C801" t="s">
        <v>1169</v>
      </c>
      <c r="D801" t="s">
        <v>1170</v>
      </c>
    </row>
    <row r="802" spans="1:4" hidden="1" x14ac:dyDescent="0.3">
      <c r="A802" t="s">
        <v>461</v>
      </c>
      <c r="B802" t="s">
        <v>1318</v>
      </c>
      <c r="C802" t="s">
        <v>1169</v>
      </c>
      <c r="D802" t="s">
        <v>1171</v>
      </c>
    </row>
    <row r="803" spans="1:4" hidden="1" x14ac:dyDescent="0.3">
      <c r="A803" t="s">
        <v>461</v>
      </c>
      <c r="B803" t="s">
        <v>1318</v>
      </c>
      <c r="C803" t="s">
        <v>1169</v>
      </c>
      <c r="D803" t="s">
        <v>1172</v>
      </c>
    </row>
    <row r="804" spans="1:4" hidden="1" x14ac:dyDescent="0.3">
      <c r="A804" t="s">
        <v>461</v>
      </c>
      <c r="B804" t="s">
        <v>1318</v>
      </c>
      <c r="C804" t="s">
        <v>1169</v>
      </c>
      <c r="D804" t="s">
        <v>1173</v>
      </c>
    </row>
    <row r="805" spans="1:4" hidden="1" x14ac:dyDescent="0.3">
      <c r="A805" t="s">
        <v>461</v>
      </c>
      <c r="B805" t="s">
        <v>1318</v>
      </c>
      <c r="C805" t="s">
        <v>1169</v>
      </c>
      <c r="D805" t="s">
        <v>1174</v>
      </c>
    </row>
    <row r="806" spans="1:4" hidden="1" x14ac:dyDescent="0.3">
      <c r="A806" t="s">
        <v>461</v>
      </c>
      <c r="B806" t="s">
        <v>1318</v>
      </c>
      <c r="C806" t="s">
        <v>1169</v>
      </c>
      <c r="D806" t="s">
        <v>1175</v>
      </c>
    </row>
    <row r="807" spans="1:4" hidden="1" x14ac:dyDescent="0.3">
      <c r="A807" t="s">
        <v>461</v>
      </c>
      <c r="B807" t="s">
        <v>1318</v>
      </c>
      <c r="C807" t="s">
        <v>1169</v>
      </c>
      <c r="D807" t="s">
        <v>1176</v>
      </c>
    </row>
    <row r="808" spans="1:4" hidden="1" x14ac:dyDescent="0.3">
      <c r="A808" t="s">
        <v>461</v>
      </c>
      <c r="B808" t="s">
        <v>1318</v>
      </c>
      <c r="C808" t="s">
        <v>1169</v>
      </c>
      <c r="D808" t="s">
        <v>1177</v>
      </c>
    </row>
    <row r="809" spans="1:4" hidden="1" x14ac:dyDescent="0.3">
      <c r="A809" t="s">
        <v>461</v>
      </c>
      <c r="B809" t="s">
        <v>1318</v>
      </c>
      <c r="C809" t="s">
        <v>1169</v>
      </c>
      <c r="D809" t="s">
        <v>1178</v>
      </c>
    </row>
    <row r="810" spans="1:4" hidden="1" x14ac:dyDescent="0.3">
      <c r="A810" t="s">
        <v>461</v>
      </c>
      <c r="B810" t="s">
        <v>1318</v>
      </c>
      <c r="C810" t="s">
        <v>1169</v>
      </c>
      <c r="D810" t="s">
        <v>1179</v>
      </c>
    </row>
    <row r="811" spans="1:4" hidden="1" x14ac:dyDescent="0.3">
      <c r="A811" t="s">
        <v>461</v>
      </c>
      <c r="B811" t="s">
        <v>1318</v>
      </c>
      <c r="C811" t="s">
        <v>1169</v>
      </c>
      <c r="D811" t="s">
        <v>1180</v>
      </c>
    </row>
    <row r="812" spans="1:4" hidden="1" x14ac:dyDescent="0.3">
      <c r="A812" t="s">
        <v>461</v>
      </c>
      <c r="B812" t="s">
        <v>1318</v>
      </c>
      <c r="C812" t="s">
        <v>1169</v>
      </c>
      <c r="D812" t="s">
        <v>1181</v>
      </c>
    </row>
    <row r="813" spans="1:4" hidden="1" x14ac:dyDescent="0.3">
      <c r="A813" t="s">
        <v>461</v>
      </c>
      <c r="B813" t="s">
        <v>1319</v>
      </c>
      <c r="C813" t="s">
        <v>61</v>
      </c>
      <c r="D813" t="s">
        <v>1170</v>
      </c>
    </row>
    <row r="814" spans="1:4" hidden="1" x14ac:dyDescent="0.3">
      <c r="A814" t="s">
        <v>461</v>
      </c>
      <c r="B814" t="s">
        <v>1319</v>
      </c>
      <c r="C814" t="s">
        <v>61</v>
      </c>
      <c r="D814" t="s">
        <v>1171</v>
      </c>
    </row>
    <row r="815" spans="1:4" hidden="1" x14ac:dyDescent="0.3">
      <c r="A815" t="s">
        <v>461</v>
      </c>
      <c r="B815" t="s">
        <v>1319</v>
      </c>
      <c r="C815" t="s">
        <v>61</v>
      </c>
      <c r="D815" t="s">
        <v>1172</v>
      </c>
    </row>
    <row r="816" spans="1:4" hidden="1" x14ac:dyDescent="0.3">
      <c r="A816" t="s">
        <v>461</v>
      </c>
      <c r="B816" t="s">
        <v>1319</v>
      </c>
      <c r="C816" t="s">
        <v>61</v>
      </c>
      <c r="D816" t="s">
        <v>1173</v>
      </c>
    </row>
    <row r="817" spans="1:4" hidden="1" x14ac:dyDescent="0.3">
      <c r="A817" t="s">
        <v>461</v>
      </c>
      <c r="B817" t="s">
        <v>1319</v>
      </c>
      <c r="C817" t="s">
        <v>61</v>
      </c>
      <c r="D817" t="s">
        <v>1174</v>
      </c>
    </row>
    <row r="818" spans="1:4" hidden="1" x14ac:dyDescent="0.3">
      <c r="A818" t="s">
        <v>461</v>
      </c>
      <c r="B818" t="s">
        <v>1319</v>
      </c>
      <c r="C818" t="s">
        <v>61</v>
      </c>
      <c r="D818" t="s">
        <v>1175</v>
      </c>
    </row>
    <row r="819" spans="1:4" hidden="1" x14ac:dyDescent="0.3">
      <c r="A819" t="s">
        <v>461</v>
      </c>
      <c r="B819" t="s">
        <v>1319</v>
      </c>
      <c r="C819" t="s">
        <v>61</v>
      </c>
      <c r="D819" t="s">
        <v>1176</v>
      </c>
    </row>
    <row r="820" spans="1:4" hidden="1" x14ac:dyDescent="0.3">
      <c r="A820" t="s">
        <v>461</v>
      </c>
      <c r="B820" t="s">
        <v>1319</v>
      </c>
      <c r="C820" t="s">
        <v>61</v>
      </c>
      <c r="D820" t="s">
        <v>1177</v>
      </c>
    </row>
    <row r="821" spans="1:4" hidden="1" x14ac:dyDescent="0.3">
      <c r="A821" t="s">
        <v>461</v>
      </c>
      <c r="B821" t="s">
        <v>1319</v>
      </c>
      <c r="C821" t="s">
        <v>61</v>
      </c>
      <c r="D821" t="s">
        <v>1178</v>
      </c>
    </row>
    <row r="822" spans="1:4" hidden="1" x14ac:dyDescent="0.3">
      <c r="A822" t="s">
        <v>461</v>
      </c>
      <c r="B822" t="s">
        <v>1319</v>
      </c>
      <c r="C822" t="s">
        <v>61</v>
      </c>
      <c r="D822" t="s">
        <v>1179</v>
      </c>
    </row>
    <row r="823" spans="1:4" hidden="1" x14ac:dyDescent="0.3">
      <c r="A823" t="s">
        <v>461</v>
      </c>
      <c r="B823" t="s">
        <v>1319</v>
      </c>
      <c r="C823" t="s">
        <v>61</v>
      </c>
      <c r="D823" t="s">
        <v>1180</v>
      </c>
    </row>
    <row r="824" spans="1:4" hidden="1" x14ac:dyDescent="0.3">
      <c r="A824" t="s">
        <v>461</v>
      </c>
      <c r="B824" t="s">
        <v>1319</v>
      </c>
      <c r="C824" t="s">
        <v>61</v>
      </c>
      <c r="D824" t="s">
        <v>1181</v>
      </c>
    </row>
    <row r="825" spans="1:4" hidden="1" x14ac:dyDescent="0.3">
      <c r="A825" t="s">
        <v>461</v>
      </c>
      <c r="B825" t="s">
        <v>1320</v>
      </c>
      <c r="C825" t="s">
        <v>61</v>
      </c>
      <c r="D825" t="s">
        <v>1170</v>
      </c>
    </row>
    <row r="826" spans="1:4" hidden="1" x14ac:dyDescent="0.3">
      <c r="A826" t="s">
        <v>461</v>
      </c>
      <c r="B826" t="s">
        <v>1320</v>
      </c>
      <c r="C826" t="s">
        <v>61</v>
      </c>
      <c r="D826" t="s">
        <v>1171</v>
      </c>
    </row>
    <row r="827" spans="1:4" hidden="1" x14ac:dyDescent="0.3">
      <c r="A827" t="s">
        <v>461</v>
      </c>
      <c r="B827" t="s">
        <v>1320</v>
      </c>
      <c r="C827" t="s">
        <v>61</v>
      </c>
      <c r="D827" t="s">
        <v>1172</v>
      </c>
    </row>
    <row r="828" spans="1:4" hidden="1" x14ac:dyDescent="0.3">
      <c r="A828" t="s">
        <v>461</v>
      </c>
      <c r="B828" t="s">
        <v>1320</v>
      </c>
      <c r="C828" t="s">
        <v>61</v>
      </c>
      <c r="D828" t="s">
        <v>1173</v>
      </c>
    </row>
    <row r="829" spans="1:4" hidden="1" x14ac:dyDescent="0.3">
      <c r="A829" t="s">
        <v>461</v>
      </c>
      <c r="B829" t="s">
        <v>1320</v>
      </c>
      <c r="C829" t="s">
        <v>61</v>
      </c>
      <c r="D829" t="s">
        <v>1174</v>
      </c>
    </row>
    <row r="830" spans="1:4" hidden="1" x14ac:dyDescent="0.3">
      <c r="A830" t="s">
        <v>461</v>
      </c>
      <c r="B830" t="s">
        <v>1320</v>
      </c>
      <c r="C830" t="s">
        <v>61</v>
      </c>
      <c r="D830" t="s">
        <v>1175</v>
      </c>
    </row>
    <row r="831" spans="1:4" hidden="1" x14ac:dyDescent="0.3">
      <c r="A831" t="s">
        <v>461</v>
      </c>
      <c r="B831" t="s">
        <v>1320</v>
      </c>
      <c r="C831" t="s">
        <v>61</v>
      </c>
      <c r="D831" t="s">
        <v>1176</v>
      </c>
    </row>
    <row r="832" spans="1:4" hidden="1" x14ac:dyDescent="0.3">
      <c r="A832" t="s">
        <v>461</v>
      </c>
      <c r="B832" t="s">
        <v>1320</v>
      </c>
      <c r="C832" t="s">
        <v>61</v>
      </c>
      <c r="D832" t="s">
        <v>1177</v>
      </c>
    </row>
    <row r="833" spans="1:4" hidden="1" x14ac:dyDescent="0.3">
      <c r="A833" t="s">
        <v>461</v>
      </c>
      <c r="B833" t="s">
        <v>1320</v>
      </c>
      <c r="C833" t="s">
        <v>61</v>
      </c>
      <c r="D833" t="s">
        <v>1178</v>
      </c>
    </row>
    <row r="834" spans="1:4" hidden="1" x14ac:dyDescent="0.3">
      <c r="A834" t="s">
        <v>461</v>
      </c>
      <c r="B834" t="s">
        <v>1320</v>
      </c>
      <c r="C834" t="s">
        <v>61</v>
      </c>
      <c r="D834" t="s">
        <v>1179</v>
      </c>
    </row>
    <row r="835" spans="1:4" hidden="1" x14ac:dyDescent="0.3">
      <c r="A835" t="s">
        <v>461</v>
      </c>
      <c r="B835" t="s">
        <v>1320</v>
      </c>
      <c r="C835" t="s">
        <v>61</v>
      </c>
      <c r="D835" t="s">
        <v>1180</v>
      </c>
    </row>
    <row r="836" spans="1:4" hidden="1" x14ac:dyDescent="0.3">
      <c r="A836" t="s">
        <v>461</v>
      </c>
      <c r="B836" t="s">
        <v>1320</v>
      </c>
      <c r="C836" t="s">
        <v>61</v>
      </c>
      <c r="D836" t="s">
        <v>1181</v>
      </c>
    </row>
    <row r="837" spans="1:4" hidden="1" x14ac:dyDescent="0.3">
      <c r="A837" t="s">
        <v>461</v>
      </c>
      <c r="B837" t="s">
        <v>1321</v>
      </c>
      <c r="C837" t="s">
        <v>61</v>
      </c>
      <c r="D837" t="s">
        <v>1170</v>
      </c>
    </row>
    <row r="838" spans="1:4" hidden="1" x14ac:dyDescent="0.3">
      <c r="A838" t="s">
        <v>461</v>
      </c>
      <c r="B838" t="s">
        <v>1321</v>
      </c>
      <c r="C838" t="s">
        <v>61</v>
      </c>
      <c r="D838" t="s">
        <v>1171</v>
      </c>
    </row>
    <row r="839" spans="1:4" hidden="1" x14ac:dyDescent="0.3">
      <c r="A839" t="s">
        <v>461</v>
      </c>
      <c r="B839" t="s">
        <v>1321</v>
      </c>
      <c r="C839" t="s">
        <v>61</v>
      </c>
      <c r="D839" t="s">
        <v>1172</v>
      </c>
    </row>
    <row r="840" spans="1:4" hidden="1" x14ac:dyDescent="0.3">
      <c r="A840" t="s">
        <v>461</v>
      </c>
      <c r="B840" t="s">
        <v>1321</v>
      </c>
      <c r="C840" t="s">
        <v>61</v>
      </c>
      <c r="D840" t="s">
        <v>1173</v>
      </c>
    </row>
    <row r="841" spans="1:4" hidden="1" x14ac:dyDescent="0.3">
      <c r="A841" t="s">
        <v>461</v>
      </c>
      <c r="B841" t="s">
        <v>1321</v>
      </c>
      <c r="C841" t="s">
        <v>61</v>
      </c>
      <c r="D841" t="s">
        <v>1174</v>
      </c>
    </row>
    <row r="842" spans="1:4" hidden="1" x14ac:dyDescent="0.3">
      <c r="A842" t="s">
        <v>461</v>
      </c>
      <c r="B842" t="s">
        <v>1321</v>
      </c>
      <c r="C842" t="s">
        <v>61</v>
      </c>
      <c r="D842" t="s">
        <v>1175</v>
      </c>
    </row>
    <row r="843" spans="1:4" hidden="1" x14ac:dyDescent="0.3">
      <c r="A843" t="s">
        <v>461</v>
      </c>
      <c r="B843" t="s">
        <v>1321</v>
      </c>
      <c r="C843" t="s">
        <v>61</v>
      </c>
      <c r="D843" t="s">
        <v>1176</v>
      </c>
    </row>
    <row r="844" spans="1:4" hidden="1" x14ac:dyDescent="0.3">
      <c r="A844" t="s">
        <v>461</v>
      </c>
      <c r="B844" t="s">
        <v>1321</v>
      </c>
      <c r="C844" t="s">
        <v>61</v>
      </c>
      <c r="D844" t="s">
        <v>1177</v>
      </c>
    </row>
    <row r="845" spans="1:4" hidden="1" x14ac:dyDescent="0.3">
      <c r="A845" t="s">
        <v>461</v>
      </c>
      <c r="B845" t="s">
        <v>1321</v>
      </c>
      <c r="C845" t="s">
        <v>61</v>
      </c>
      <c r="D845" t="s">
        <v>1178</v>
      </c>
    </row>
    <row r="846" spans="1:4" hidden="1" x14ac:dyDescent="0.3">
      <c r="A846" t="s">
        <v>461</v>
      </c>
      <c r="B846" t="s">
        <v>1321</v>
      </c>
      <c r="C846" t="s">
        <v>61</v>
      </c>
      <c r="D846" t="s">
        <v>1179</v>
      </c>
    </row>
    <row r="847" spans="1:4" hidden="1" x14ac:dyDescent="0.3">
      <c r="A847" t="s">
        <v>461</v>
      </c>
      <c r="B847" t="s">
        <v>1321</v>
      </c>
      <c r="C847" t="s">
        <v>61</v>
      </c>
      <c r="D847" t="s">
        <v>1180</v>
      </c>
    </row>
    <row r="848" spans="1:4" hidden="1" x14ac:dyDescent="0.3">
      <c r="A848" t="s">
        <v>461</v>
      </c>
      <c r="B848" t="s">
        <v>1321</v>
      </c>
      <c r="C848" t="s">
        <v>61</v>
      </c>
      <c r="D848" t="s">
        <v>1181</v>
      </c>
    </row>
    <row r="849" spans="1:4" hidden="1" x14ac:dyDescent="0.3">
      <c r="A849" t="s">
        <v>462</v>
      </c>
      <c r="B849" t="s">
        <v>1322</v>
      </c>
      <c r="C849" t="s">
        <v>1169</v>
      </c>
      <c r="D849" t="s">
        <v>1170</v>
      </c>
    </row>
    <row r="850" spans="1:4" hidden="1" x14ac:dyDescent="0.3">
      <c r="A850" t="s">
        <v>462</v>
      </c>
      <c r="B850" t="s">
        <v>1322</v>
      </c>
      <c r="C850" t="s">
        <v>1169</v>
      </c>
      <c r="D850" t="s">
        <v>1171</v>
      </c>
    </row>
    <row r="851" spans="1:4" hidden="1" x14ac:dyDescent="0.3">
      <c r="A851" t="s">
        <v>462</v>
      </c>
      <c r="B851" t="s">
        <v>1322</v>
      </c>
      <c r="C851" t="s">
        <v>1169</v>
      </c>
      <c r="D851" t="s">
        <v>1172</v>
      </c>
    </row>
    <row r="852" spans="1:4" hidden="1" x14ac:dyDescent="0.3">
      <c r="A852" t="s">
        <v>462</v>
      </c>
      <c r="B852" t="s">
        <v>1322</v>
      </c>
      <c r="C852" t="s">
        <v>1169</v>
      </c>
      <c r="D852" t="s">
        <v>1173</v>
      </c>
    </row>
    <row r="853" spans="1:4" hidden="1" x14ac:dyDescent="0.3">
      <c r="A853" t="s">
        <v>462</v>
      </c>
      <c r="B853" t="s">
        <v>1322</v>
      </c>
      <c r="C853" t="s">
        <v>1169</v>
      </c>
      <c r="D853" t="s">
        <v>1174</v>
      </c>
    </row>
    <row r="854" spans="1:4" hidden="1" x14ac:dyDescent="0.3">
      <c r="A854" t="s">
        <v>462</v>
      </c>
      <c r="B854" t="s">
        <v>1322</v>
      </c>
      <c r="C854" t="s">
        <v>1169</v>
      </c>
      <c r="D854" t="s">
        <v>1175</v>
      </c>
    </row>
    <row r="855" spans="1:4" hidden="1" x14ac:dyDescent="0.3">
      <c r="A855" t="s">
        <v>462</v>
      </c>
      <c r="B855" t="s">
        <v>1322</v>
      </c>
      <c r="C855" t="s">
        <v>1169</v>
      </c>
      <c r="D855" t="s">
        <v>1176</v>
      </c>
    </row>
    <row r="856" spans="1:4" hidden="1" x14ac:dyDescent="0.3">
      <c r="A856" t="s">
        <v>462</v>
      </c>
      <c r="B856" t="s">
        <v>1322</v>
      </c>
      <c r="C856" t="s">
        <v>1169</v>
      </c>
      <c r="D856" t="s">
        <v>1177</v>
      </c>
    </row>
    <row r="857" spans="1:4" hidden="1" x14ac:dyDescent="0.3">
      <c r="A857" t="s">
        <v>462</v>
      </c>
      <c r="B857" t="s">
        <v>1322</v>
      </c>
      <c r="C857" t="s">
        <v>1169</v>
      </c>
      <c r="D857" t="s">
        <v>1178</v>
      </c>
    </row>
    <row r="858" spans="1:4" hidden="1" x14ac:dyDescent="0.3">
      <c r="A858" t="s">
        <v>462</v>
      </c>
      <c r="B858" t="s">
        <v>1322</v>
      </c>
      <c r="C858" t="s">
        <v>1169</v>
      </c>
      <c r="D858" t="s">
        <v>1179</v>
      </c>
    </row>
    <row r="859" spans="1:4" hidden="1" x14ac:dyDescent="0.3">
      <c r="A859" t="s">
        <v>462</v>
      </c>
      <c r="B859" t="s">
        <v>1322</v>
      </c>
      <c r="C859" t="s">
        <v>1169</v>
      </c>
      <c r="D859" t="s">
        <v>1180</v>
      </c>
    </row>
    <row r="860" spans="1:4" hidden="1" x14ac:dyDescent="0.3">
      <c r="A860" t="s">
        <v>462</v>
      </c>
      <c r="B860" t="s">
        <v>1322</v>
      </c>
      <c r="C860" t="s">
        <v>1169</v>
      </c>
      <c r="D860" t="s">
        <v>1181</v>
      </c>
    </row>
    <row r="861" spans="1:4" hidden="1" x14ac:dyDescent="0.3">
      <c r="A861" t="s">
        <v>462</v>
      </c>
      <c r="B861" t="s">
        <v>1323</v>
      </c>
      <c r="C861" t="s">
        <v>1251</v>
      </c>
      <c r="D861" t="s">
        <v>1170</v>
      </c>
    </row>
    <row r="862" spans="1:4" hidden="1" x14ac:dyDescent="0.3">
      <c r="A862" t="s">
        <v>462</v>
      </c>
      <c r="B862" t="s">
        <v>1323</v>
      </c>
      <c r="C862" t="s">
        <v>1251</v>
      </c>
      <c r="D862" t="s">
        <v>1171</v>
      </c>
    </row>
    <row r="863" spans="1:4" hidden="1" x14ac:dyDescent="0.3">
      <c r="A863" t="s">
        <v>462</v>
      </c>
      <c r="B863" t="s">
        <v>1323</v>
      </c>
      <c r="C863" t="s">
        <v>1251</v>
      </c>
      <c r="D863" t="s">
        <v>1172</v>
      </c>
    </row>
    <row r="864" spans="1:4" hidden="1" x14ac:dyDescent="0.3">
      <c r="A864" t="s">
        <v>462</v>
      </c>
      <c r="B864" t="s">
        <v>1323</v>
      </c>
      <c r="C864" t="s">
        <v>1251</v>
      </c>
      <c r="D864" t="s">
        <v>1173</v>
      </c>
    </row>
    <row r="865" spans="1:7" hidden="1" x14ac:dyDescent="0.3">
      <c r="A865" t="s">
        <v>462</v>
      </c>
      <c r="B865" t="s">
        <v>1323</v>
      </c>
      <c r="C865" t="s">
        <v>1251</v>
      </c>
      <c r="D865" t="s">
        <v>1174</v>
      </c>
    </row>
    <row r="866" spans="1:7" hidden="1" x14ac:dyDescent="0.3">
      <c r="A866" t="s">
        <v>462</v>
      </c>
      <c r="B866" t="s">
        <v>1323</v>
      </c>
      <c r="C866" t="s">
        <v>1251</v>
      </c>
      <c r="D866" t="s">
        <v>1175</v>
      </c>
    </row>
    <row r="867" spans="1:7" hidden="1" x14ac:dyDescent="0.3">
      <c r="A867" t="s">
        <v>462</v>
      </c>
      <c r="B867" t="s">
        <v>1323</v>
      </c>
      <c r="C867" t="s">
        <v>1251</v>
      </c>
      <c r="D867" t="s">
        <v>1176</v>
      </c>
    </row>
    <row r="868" spans="1:7" hidden="1" x14ac:dyDescent="0.3">
      <c r="A868" t="s">
        <v>462</v>
      </c>
      <c r="B868" t="s">
        <v>1323</v>
      </c>
      <c r="C868" t="s">
        <v>1251</v>
      </c>
      <c r="D868" t="s">
        <v>1177</v>
      </c>
    </row>
    <row r="869" spans="1:7" hidden="1" x14ac:dyDescent="0.3">
      <c r="A869" t="s">
        <v>462</v>
      </c>
      <c r="B869" t="s">
        <v>1323</v>
      </c>
      <c r="C869" t="s">
        <v>1251</v>
      </c>
      <c r="D869" t="s">
        <v>1178</v>
      </c>
    </row>
    <row r="870" spans="1:7" hidden="1" x14ac:dyDescent="0.3">
      <c r="A870" t="s">
        <v>462</v>
      </c>
      <c r="B870" t="s">
        <v>1323</v>
      </c>
      <c r="C870" t="s">
        <v>1251</v>
      </c>
      <c r="D870" t="s">
        <v>1179</v>
      </c>
    </row>
    <row r="871" spans="1:7" hidden="1" x14ac:dyDescent="0.3">
      <c r="A871" t="s">
        <v>462</v>
      </c>
      <c r="B871" t="s">
        <v>1323</v>
      </c>
      <c r="C871" t="s">
        <v>1251</v>
      </c>
      <c r="D871" t="s">
        <v>1180</v>
      </c>
    </row>
    <row r="872" spans="1:7" hidden="1" x14ac:dyDescent="0.3">
      <c r="A872" t="s">
        <v>462</v>
      </c>
      <c r="B872" t="s">
        <v>1323</v>
      </c>
      <c r="C872" t="s">
        <v>1251</v>
      </c>
      <c r="D872" t="s">
        <v>1181</v>
      </c>
    </row>
    <row r="873" spans="1:7" x14ac:dyDescent="0.3">
      <c r="A873" t="s">
        <v>462</v>
      </c>
      <c r="B873" t="s">
        <v>1324</v>
      </c>
      <c r="C873" t="s">
        <v>54</v>
      </c>
      <c r="D873" t="s">
        <v>1170</v>
      </c>
      <c r="E873" s="377">
        <v>0.59000000357627802</v>
      </c>
      <c r="F873" s="377">
        <v>0.59000000357627802</v>
      </c>
      <c r="G873" s="377">
        <v>0</v>
      </c>
    </row>
    <row r="874" spans="1:7" x14ac:dyDescent="0.3">
      <c r="A874" t="s">
        <v>462</v>
      </c>
      <c r="B874" t="s">
        <v>1324</v>
      </c>
      <c r="C874" t="s">
        <v>54</v>
      </c>
      <c r="D874" t="s">
        <v>1171</v>
      </c>
      <c r="E874" s="377">
        <v>208.72999968007201</v>
      </c>
      <c r="F874" s="377">
        <v>208.72999968007201</v>
      </c>
      <c r="G874" s="377">
        <v>0</v>
      </c>
    </row>
    <row r="875" spans="1:7" x14ac:dyDescent="0.3">
      <c r="A875" t="s">
        <v>462</v>
      </c>
      <c r="B875" t="s">
        <v>1324</v>
      </c>
      <c r="C875" t="s">
        <v>54</v>
      </c>
      <c r="D875" t="s">
        <v>1172</v>
      </c>
      <c r="E875" s="377">
        <v>137.979999966919</v>
      </c>
      <c r="F875" s="377">
        <v>137.979999966919</v>
      </c>
      <c r="G875" s="377">
        <v>0</v>
      </c>
    </row>
    <row r="876" spans="1:7" x14ac:dyDescent="0.3">
      <c r="A876" t="s">
        <v>462</v>
      </c>
      <c r="B876" t="s">
        <v>1324</v>
      </c>
      <c r="C876" t="s">
        <v>54</v>
      </c>
      <c r="D876" t="s">
        <v>1173</v>
      </c>
      <c r="E876" s="377">
        <v>55.520000020041998</v>
      </c>
      <c r="F876" s="377">
        <v>55.520000020041998</v>
      </c>
      <c r="G876" s="377">
        <v>0</v>
      </c>
    </row>
    <row r="877" spans="1:7" x14ac:dyDescent="0.3">
      <c r="A877" t="s">
        <v>462</v>
      </c>
      <c r="B877" t="s">
        <v>1324</v>
      </c>
      <c r="C877" t="s">
        <v>54</v>
      </c>
      <c r="D877" t="s">
        <v>1174</v>
      </c>
      <c r="E877" s="377">
        <v>185.66000027023199</v>
      </c>
      <c r="F877" s="377">
        <v>185.66000027023199</v>
      </c>
      <c r="G877" s="377">
        <v>0</v>
      </c>
    </row>
    <row r="878" spans="1:7" x14ac:dyDescent="0.3">
      <c r="A878" t="s">
        <v>462</v>
      </c>
      <c r="B878" t="s">
        <v>1324</v>
      </c>
      <c r="C878" t="s">
        <v>54</v>
      </c>
      <c r="D878" t="s">
        <v>1175</v>
      </c>
      <c r="E878" s="377">
        <v>136.92000049725101</v>
      </c>
      <c r="F878" s="377">
        <v>136.92000049725101</v>
      </c>
      <c r="G878" s="377">
        <v>0</v>
      </c>
    </row>
    <row r="879" spans="1:7" x14ac:dyDescent="0.3">
      <c r="A879" t="s">
        <v>462</v>
      </c>
      <c r="B879" t="s">
        <v>1324</v>
      </c>
      <c r="C879" t="s">
        <v>54</v>
      </c>
      <c r="D879" t="s">
        <v>1176</v>
      </c>
      <c r="E879" s="377">
        <v>127.930000284686</v>
      </c>
      <c r="F879" s="377">
        <v>127.930000284686</v>
      </c>
      <c r="G879" s="377">
        <v>0</v>
      </c>
    </row>
    <row r="880" spans="1:7" x14ac:dyDescent="0.3">
      <c r="A880" t="s">
        <v>462</v>
      </c>
      <c r="B880" t="s">
        <v>1324</v>
      </c>
      <c r="C880" t="s">
        <v>54</v>
      </c>
      <c r="D880" t="s">
        <v>1177</v>
      </c>
      <c r="E880" s="377">
        <v>62.320000272244201</v>
      </c>
      <c r="F880" s="377">
        <v>62.320000272244201</v>
      </c>
      <c r="G880" s="377">
        <v>0</v>
      </c>
    </row>
    <row r="881" spans="1:7" x14ac:dyDescent="0.3">
      <c r="A881" t="s">
        <v>462</v>
      </c>
      <c r="B881" t="s">
        <v>1324</v>
      </c>
      <c r="C881" t="s">
        <v>54</v>
      </c>
      <c r="D881" t="s">
        <v>1178</v>
      </c>
      <c r="E881" s="377">
        <v>67.770000047981696</v>
      </c>
      <c r="F881" s="377">
        <v>67.770000047981696</v>
      </c>
      <c r="G881" s="377">
        <v>0</v>
      </c>
    </row>
    <row r="882" spans="1:7" x14ac:dyDescent="0.3">
      <c r="A882" t="s">
        <v>462</v>
      </c>
      <c r="B882" t="s">
        <v>1324</v>
      </c>
      <c r="C882" t="s">
        <v>54</v>
      </c>
      <c r="D882" t="s">
        <v>1179</v>
      </c>
      <c r="E882" s="377">
        <v>37.869999799877398</v>
      </c>
      <c r="F882" s="377">
        <v>37.869999799877398</v>
      </c>
      <c r="G882" s="377">
        <v>0</v>
      </c>
    </row>
    <row r="883" spans="1:7" x14ac:dyDescent="0.3">
      <c r="A883" t="s">
        <v>462</v>
      </c>
      <c r="B883" t="s">
        <v>1324</v>
      </c>
      <c r="C883" t="s">
        <v>54</v>
      </c>
      <c r="D883" t="s">
        <v>1180</v>
      </c>
      <c r="E883" s="377">
        <v>38.969999961554997</v>
      </c>
      <c r="F883" s="377">
        <v>38.969999961554997</v>
      </c>
      <c r="G883" s="377">
        <v>0</v>
      </c>
    </row>
    <row r="884" spans="1:7" x14ac:dyDescent="0.3">
      <c r="A884" t="s">
        <v>462</v>
      </c>
      <c r="B884" t="s">
        <v>1324</v>
      </c>
      <c r="C884" t="s">
        <v>54</v>
      </c>
      <c r="D884" t="s">
        <v>1181</v>
      </c>
      <c r="E884" s="377">
        <v>24.4899999685585</v>
      </c>
      <c r="F884" s="377">
        <v>24.4899999685585</v>
      </c>
      <c r="G884" s="377">
        <v>0</v>
      </c>
    </row>
    <row r="885" spans="1:7" hidden="1" x14ac:dyDescent="0.3">
      <c r="A885" t="s">
        <v>462</v>
      </c>
      <c r="B885" t="s">
        <v>1325</v>
      </c>
      <c r="C885" t="s">
        <v>61</v>
      </c>
      <c r="D885" t="s">
        <v>1170</v>
      </c>
    </row>
    <row r="886" spans="1:7" hidden="1" x14ac:dyDescent="0.3">
      <c r="A886" t="s">
        <v>462</v>
      </c>
      <c r="B886" t="s">
        <v>1325</v>
      </c>
      <c r="C886" t="s">
        <v>61</v>
      </c>
      <c r="D886" t="s">
        <v>1171</v>
      </c>
    </row>
    <row r="887" spans="1:7" hidden="1" x14ac:dyDescent="0.3">
      <c r="A887" t="s">
        <v>462</v>
      </c>
      <c r="B887" t="s">
        <v>1325</v>
      </c>
      <c r="C887" t="s">
        <v>61</v>
      </c>
      <c r="D887" t="s">
        <v>1172</v>
      </c>
    </row>
    <row r="888" spans="1:7" hidden="1" x14ac:dyDescent="0.3">
      <c r="A888" t="s">
        <v>462</v>
      </c>
      <c r="B888" t="s">
        <v>1325</v>
      </c>
      <c r="C888" t="s">
        <v>61</v>
      </c>
      <c r="D888" t="s">
        <v>1173</v>
      </c>
    </row>
    <row r="889" spans="1:7" hidden="1" x14ac:dyDescent="0.3">
      <c r="A889" t="s">
        <v>462</v>
      </c>
      <c r="B889" t="s">
        <v>1325</v>
      </c>
      <c r="C889" t="s">
        <v>61</v>
      </c>
      <c r="D889" t="s">
        <v>1174</v>
      </c>
    </row>
    <row r="890" spans="1:7" hidden="1" x14ac:dyDescent="0.3">
      <c r="A890" t="s">
        <v>462</v>
      </c>
      <c r="B890" t="s">
        <v>1325</v>
      </c>
      <c r="C890" t="s">
        <v>61</v>
      </c>
      <c r="D890" t="s">
        <v>1175</v>
      </c>
    </row>
    <row r="891" spans="1:7" hidden="1" x14ac:dyDescent="0.3">
      <c r="A891" t="s">
        <v>462</v>
      </c>
      <c r="B891" t="s">
        <v>1325</v>
      </c>
      <c r="C891" t="s">
        <v>61</v>
      </c>
      <c r="D891" t="s">
        <v>1176</v>
      </c>
    </row>
    <row r="892" spans="1:7" hidden="1" x14ac:dyDescent="0.3">
      <c r="A892" t="s">
        <v>462</v>
      </c>
      <c r="B892" t="s">
        <v>1325</v>
      </c>
      <c r="C892" t="s">
        <v>61</v>
      </c>
      <c r="D892" t="s">
        <v>1177</v>
      </c>
    </row>
    <row r="893" spans="1:7" hidden="1" x14ac:dyDescent="0.3">
      <c r="A893" t="s">
        <v>462</v>
      </c>
      <c r="B893" t="s">
        <v>1325</v>
      </c>
      <c r="C893" t="s">
        <v>61</v>
      </c>
      <c r="D893" t="s">
        <v>1178</v>
      </c>
    </row>
    <row r="894" spans="1:7" hidden="1" x14ac:dyDescent="0.3">
      <c r="A894" t="s">
        <v>462</v>
      </c>
      <c r="B894" t="s">
        <v>1325</v>
      </c>
      <c r="C894" t="s">
        <v>61</v>
      </c>
      <c r="D894" t="s">
        <v>1179</v>
      </c>
    </row>
    <row r="895" spans="1:7" hidden="1" x14ac:dyDescent="0.3">
      <c r="A895" t="s">
        <v>462</v>
      </c>
      <c r="B895" t="s">
        <v>1325</v>
      </c>
      <c r="C895" t="s">
        <v>61</v>
      </c>
      <c r="D895" t="s">
        <v>1180</v>
      </c>
    </row>
    <row r="896" spans="1:7" hidden="1" x14ac:dyDescent="0.3">
      <c r="A896" t="s">
        <v>462</v>
      </c>
      <c r="B896" t="s">
        <v>1325</v>
      </c>
      <c r="C896" t="s">
        <v>61</v>
      </c>
      <c r="D896" t="s">
        <v>1181</v>
      </c>
    </row>
    <row r="897" spans="1:4" hidden="1" x14ac:dyDescent="0.3">
      <c r="A897" t="s">
        <v>462</v>
      </c>
      <c r="B897" t="s">
        <v>1326</v>
      </c>
      <c r="C897" t="s">
        <v>61</v>
      </c>
      <c r="D897" t="s">
        <v>1170</v>
      </c>
    </row>
    <row r="898" spans="1:4" hidden="1" x14ac:dyDescent="0.3">
      <c r="A898" t="s">
        <v>462</v>
      </c>
      <c r="B898" t="s">
        <v>1326</v>
      </c>
      <c r="C898" t="s">
        <v>61</v>
      </c>
      <c r="D898" t="s">
        <v>1171</v>
      </c>
    </row>
    <row r="899" spans="1:4" hidden="1" x14ac:dyDescent="0.3">
      <c r="A899" t="s">
        <v>462</v>
      </c>
      <c r="B899" t="s">
        <v>1326</v>
      </c>
      <c r="C899" t="s">
        <v>61</v>
      </c>
      <c r="D899" t="s">
        <v>1172</v>
      </c>
    </row>
    <row r="900" spans="1:4" hidden="1" x14ac:dyDescent="0.3">
      <c r="A900" t="s">
        <v>462</v>
      </c>
      <c r="B900" t="s">
        <v>1326</v>
      </c>
      <c r="C900" t="s">
        <v>61</v>
      </c>
      <c r="D900" t="s">
        <v>1173</v>
      </c>
    </row>
    <row r="901" spans="1:4" hidden="1" x14ac:dyDescent="0.3">
      <c r="A901" t="s">
        <v>462</v>
      </c>
      <c r="B901" t="s">
        <v>1326</v>
      </c>
      <c r="C901" t="s">
        <v>61</v>
      </c>
      <c r="D901" t="s">
        <v>1174</v>
      </c>
    </row>
    <row r="902" spans="1:4" hidden="1" x14ac:dyDescent="0.3">
      <c r="A902" t="s">
        <v>462</v>
      </c>
      <c r="B902" t="s">
        <v>1326</v>
      </c>
      <c r="C902" t="s">
        <v>61</v>
      </c>
      <c r="D902" t="s">
        <v>1175</v>
      </c>
    </row>
    <row r="903" spans="1:4" hidden="1" x14ac:dyDescent="0.3">
      <c r="A903" t="s">
        <v>462</v>
      </c>
      <c r="B903" t="s">
        <v>1326</v>
      </c>
      <c r="C903" t="s">
        <v>61</v>
      </c>
      <c r="D903" t="s">
        <v>1176</v>
      </c>
    </row>
    <row r="904" spans="1:4" hidden="1" x14ac:dyDescent="0.3">
      <c r="A904" t="s">
        <v>462</v>
      </c>
      <c r="B904" t="s">
        <v>1326</v>
      </c>
      <c r="C904" t="s">
        <v>61</v>
      </c>
      <c r="D904" t="s">
        <v>1177</v>
      </c>
    </row>
    <row r="905" spans="1:4" hidden="1" x14ac:dyDescent="0.3">
      <c r="A905" t="s">
        <v>462</v>
      </c>
      <c r="B905" t="s">
        <v>1326</v>
      </c>
      <c r="C905" t="s">
        <v>61</v>
      </c>
      <c r="D905" t="s">
        <v>1178</v>
      </c>
    </row>
    <row r="906" spans="1:4" hidden="1" x14ac:dyDescent="0.3">
      <c r="A906" t="s">
        <v>462</v>
      </c>
      <c r="B906" t="s">
        <v>1326</v>
      </c>
      <c r="C906" t="s">
        <v>61</v>
      </c>
      <c r="D906" t="s">
        <v>1179</v>
      </c>
    </row>
    <row r="907" spans="1:4" hidden="1" x14ac:dyDescent="0.3">
      <c r="A907" t="s">
        <v>462</v>
      </c>
      <c r="B907" t="s">
        <v>1326</v>
      </c>
      <c r="C907" t="s">
        <v>61</v>
      </c>
      <c r="D907" t="s">
        <v>1180</v>
      </c>
    </row>
    <row r="908" spans="1:4" hidden="1" x14ac:dyDescent="0.3">
      <c r="A908" t="s">
        <v>462</v>
      </c>
      <c r="B908" t="s">
        <v>1326</v>
      </c>
      <c r="C908" t="s">
        <v>61</v>
      </c>
      <c r="D908" t="s">
        <v>1181</v>
      </c>
    </row>
    <row r="909" spans="1:4" hidden="1" x14ac:dyDescent="0.3">
      <c r="A909" t="s">
        <v>462</v>
      </c>
      <c r="B909" t="s">
        <v>1327</v>
      </c>
      <c r="C909" t="s">
        <v>61</v>
      </c>
      <c r="D909" t="s">
        <v>1170</v>
      </c>
    </row>
    <row r="910" spans="1:4" hidden="1" x14ac:dyDescent="0.3">
      <c r="A910" t="s">
        <v>462</v>
      </c>
      <c r="B910" t="s">
        <v>1327</v>
      </c>
      <c r="C910" t="s">
        <v>61</v>
      </c>
      <c r="D910" t="s">
        <v>1171</v>
      </c>
    </row>
    <row r="911" spans="1:4" hidden="1" x14ac:dyDescent="0.3">
      <c r="A911" t="s">
        <v>462</v>
      </c>
      <c r="B911" t="s">
        <v>1327</v>
      </c>
      <c r="C911" t="s">
        <v>61</v>
      </c>
      <c r="D911" t="s">
        <v>1172</v>
      </c>
    </row>
    <row r="912" spans="1:4" hidden="1" x14ac:dyDescent="0.3">
      <c r="A912" t="s">
        <v>462</v>
      </c>
      <c r="B912" t="s">
        <v>1327</v>
      </c>
      <c r="C912" t="s">
        <v>61</v>
      </c>
      <c r="D912" t="s">
        <v>1173</v>
      </c>
    </row>
    <row r="913" spans="1:4" hidden="1" x14ac:dyDescent="0.3">
      <c r="A913" t="s">
        <v>462</v>
      </c>
      <c r="B913" t="s">
        <v>1327</v>
      </c>
      <c r="C913" t="s">
        <v>61</v>
      </c>
      <c r="D913" t="s">
        <v>1174</v>
      </c>
    </row>
    <row r="914" spans="1:4" hidden="1" x14ac:dyDescent="0.3">
      <c r="A914" t="s">
        <v>462</v>
      </c>
      <c r="B914" t="s">
        <v>1327</v>
      </c>
      <c r="C914" t="s">
        <v>61</v>
      </c>
      <c r="D914" t="s">
        <v>1175</v>
      </c>
    </row>
    <row r="915" spans="1:4" hidden="1" x14ac:dyDescent="0.3">
      <c r="A915" t="s">
        <v>462</v>
      </c>
      <c r="B915" t="s">
        <v>1327</v>
      </c>
      <c r="C915" t="s">
        <v>61</v>
      </c>
      <c r="D915" t="s">
        <v>1176</v>
      </c>
    </row>
    <row r="916" spans="1:4" hidden="1" x14ac:dyDescent="0.3">
      <c r="A916" t="s">
        <v>462</v>
      </c>
      <c r="B916" t="s">
        <v>1327</v>
      </c>
      <c r="C916" t="s">
        <v>61</v>
      </c>
      <c r="D916" t="s">
        <v>1177</v>
      </c>
    </row>
    <row r="917" spans="1:4" hidden="1" x14ac:dyDescent="0.3">
      <c r="A917" t="s">
        <v>462</v>
      </c>
      <c r="B917" t="s">
        <v>1327</v>
      </c>
      <c r="C917" t="s">
        <v>61</v>
      </c>
      <c r="D917" t="s">
        <v>1178</v>
      </c>
    </row>
    <row r="918" spans="1:4" hidden="1" x14ac:dyDescent="0.3">
      <c r="A918" t="s">
        <v>462</v>
      </c>
      <c r="B918" t="s">
        <v>1327</v>
      </c>
      <c r="C918" t="s">
        <v>61</v>
      </c>
      <c r="D918" t="s">
        <v>1179</v>
      </c>
    </row>
    <row r="919" spans="1:4" hidden="1" x14ac:dyDescent="0.3">
      <c r="A919" t="s">
        <v>462</v>
      </c>
      <c r="B919" t="s">
        <v>1327</v>
      </c>
      <c r="C919" t="s">
        <v>61</v>
      </c>
      <c r="D919" t="s">
        <v>1180</v>
      </c>
    </row>
    <row r="920" spans="1:4" hidden="1" x14ac:dyDescent="0.3">
      <c r="A920" t="s">
        <v>462</v>
      </c>
      <c r="B920" t="s">
        <v>1327</v>
      </c>
      <c r="C920" t="s">
        <v>61</v>
      </c>
      <c r="D920" t="s">
        <v>1181</v>
      </c>
    </row>
    <row r="921" spans="1:4" hidden="1" x14ac:dyDescent="0.3">
      <c r="A921" t="s">
        <v>462</v>
      </c>
      <c r="B921" t="s">
        <v>1328</v>
      </c>
      <c r="C921" t="s">
        <v>1169</v>
      </c>
      <c r="D921" t="s">
        <v>1170</v>
      </c>
    </row>
    <row r="922" spans="1:4" hidden="1" x14ac:dyDescent="0.3">
      <c r="A922" t="s">
        <v>462</v>
      </c>
      <c r="B922" t="s">
        <v>1328</v>
      </c>
      <c r="C922" t="s">
        <v>1169</v>
      </c>
      <c r="D922" t="s">
        <v>1171</v>
      </c>
    </row>
    <row r="923" spans="1:4" hidden="1" x14ac:dyDescent="0.3">
      <c r="A923" t="s">
        <v>462</v>
      </c>
      <c r="B923" t="s">
        <v>1328</v>
      </c>
      <c r="C923" t="s">
        <v>1169</v>
      </c>
      <c r="D923" t="s">
        <v>1172</v>
      </c>
    </row>
    <row r="924" spans="1:4" hidden="1" x14ac:dyDescent="0.3">
      <c r="A924" t="s">
        <v>462</v>
      </c>
      <c r="B924" t="s">
        <v>1328</v>
      </c>
      <c r="C924" t="s">
        <v>1169</v>
      </c>
      <c r="D924" t="s">
        <v>1173</v>
      </c>
    </row>
    <row r="925" spans="1:4" hidden="1" x14ac:dyDescent="0.3">
      <c r="A925" t="s">
        <v>462</v>
      </c>
      <c r="B925" t="s">
        <v>1328</v>
      </c>
      <c r="C925" t="s">
        <v>1169</v>
      </c>
      <c r="D925" t="s">
        <v>1174</v>
      </c>
    </row>
    <row r="926" spans="1:4" hidden="1" x14ac:dyDescent="0.3">
      <c r="A926" t="s">
        <v>462</v>
      </c>
      <c r="B926" t="s">
        <v>1328</v>
      </c>
      <c r="C926" t="s">
        <v>1169</v>
      </c>
      <c r="D926" t="s">
        <v>1175</v>
      </c>
    </row>
    <row r="927" spans="1:4" hidden="1" x14ac:dyDescent="0.3">
      <c r="A927" t="s">
        <v>462</v>
      </c>
      <c r="B927" t="s">
        <v>1328</v>
      </c>
      <c r="C927" t="s">
        <v>1169</v>
      </c>
      <c r="D927" t="s">
        <v>1176</v>
      </c>
    </row>
    <row r="928" spans="1:4" hidden="1" x14ac:dyDescent="0.3">
      <c r="A928" t="s">
        <v>462</v>
      </c>
      <c r="B928" t="s">
        <v>1328</v>
      </c>
      <c r="C928" t="s">
        <v>1169</v>
      </c>
      <c r="D928" t="s">
        <v>1177</v>
      </c>
    </row>
    <row r="929" spans="1:4" hidden="1" x14ac:dyDescent="0.3">
      <c r="A929" t="s">
        <v>462</v>
      </c>
      <c r="B929" t="s">
        <v>1328</v>
      </c>
      <c r="C929" t="s">
        <v>1169</v>
      </c>
      <c r="D929" t="s">
        <v>1178</v>
      </c>
    </row>
    <row r="930" spans="1:4" hidden="1" x14ac:dyDescent="0.3">
      <c r="A930" t="s">
        <v>462</v>
      </c>
      <c r="B930" t="s">
        <v>1328</v>
      </c>
      <c r="C930" t="s">
        <v>1169</v>
      </c>
      <c r="D930" t="s">
        <v>1179</v>
      </c>
    </row>
    <row r="931" spans="1:4" hidden="1" x14ac:dyDescent="0.3">
      <c r="A931" t="s">
        <v>462</v>
      </c>
      <c r="B931" t="s">
        <v>1328</v>
      </c>
      <c r="C931" t="s">
        <v>1169</v>
      </c>
      <c r="D931" t="s">
        <v>1180</v>
      </c>
    </row>
    <row r="932" spans="1:4" hidden="1" x14ac:dyDescent="0.3">
      <c r="A932" t="s">
        <v>462</v>
      </c>
      <c r="B932" t="s">
        <v>1328</v>
      </c>
      <c r="C932" t="s">
        <v>1169</v>
      </c>
      <c r="D932" t="s">
        <v>1181</v>
      </c>
    </row>
    <row r="933" spans="1:4" hidden="1" x14ac:dyDescent="0.3">
      <c r="A933" t="s">
        <v>462</v>
      </c>
      <c r="B933" t="s">
        <v>1329</v>
      </c>
      <c r="C933" t="s">
        <v>1169</v>
      </c>
      <c r="D933" t="s">
        <v>1170</v>
      </c>
    </row>
    <row r="934" spans="1:4" hidden="1" x14ac:dyDescent="0.3">
      <c r="A934" t="s">
        <v>462</v>
      </c>
      <c r="B934" t="s">
        <v>1329</v>
      </c>
      <c r="C934" t="s">
        <v>1169</v>
      </c>
      <c r="D934" t="s">
        <v>1171</v>
      </c>
    </row>
    <row r="935" spans="1:4" hidden="1" x14ac:dyDescent="0.3">
      <c r="A935" t="s">
        <v>462</v>
      </c>
      <c r="B935" t="s">
        <v>1329</v>
      </c>
      <c r="C935" t="s">
        <v>1169</v>
      </c>
      <c r="D935" t="s">
        <v>1172</v>
      </c>
    </row>
    <row r="936" spans="1:4" hidden="1" x14ac:dyDescent="0.3">
      <c r="A936" t="s">
        <v>462</v>
      </c>
      <c r="B936" t="s">
        <v>1329</v>
      </c>
      <c r="C936" t="s">
        <v>1169</v>
      </c>
      <c r="D936" t="s">
        <v>1173</v>
      </c>
    </row>
    <row r="937" spans="1:4" hidden="1" x14ac:dyDescent="0.3">
      <c r="A937" t="s">
        <v>462</v>
      </c>
      <c r="B937" t="s">
        <v>1329</v>
      </c>
      <c r="C937" t="s">
        <v>1169</v>
      </c>
      <c r="D937" t="s">
        <v>1174</v>
      </c>
    </row>
    <row r="938" spans="1:4" hidden="1" x14ac:dyDescent="0.3">
      <c r="A938" t="s">
        <v>462</v>
      </c>
      <c r="B938" t="s">
        <v>1329</v>
      </c>
      <c r="C938" t="s">
        <v>1169</v>
      </c>
      <c r="D938" t="s">
        <v>1175</v>
      </c>
    </row>
    <row r="939" spans="1:4" hidden="1" x14ac:dyDescent="0.3">
      <c r="A939" t="s">
        <v>462</v>
      </c>
      <c r="B939" t="s">
        <v>1329</v>
      </c>
      <c r="C939" t="s">
        <v>1169</v>
      </c>
      <c r="D939" t="s">
        <v>1176</v>
      </c>
    </row>
    <row r="940" spans="1:4" hidden="1" x14ac:dyDescent="0.3">
      <c r="A940" t="s">
        <v>462</v>
      </c>
      <c r="B940" t="s">
        <v>1329</v>
      </c>
      <c r="C940" t="s">
        <v>1169</v>
      </c>
      <c r="D940" t="s">
        <v>1177</v>
      </c>
    </row>
    <row r="941" spans="1:4" hidden="1" x14ac:dyDescent="0.3">
      <c r="A941" t="s">
        <v>462</v>
      </c>
      <c r="B941" t="s">
        <v>1329</v>
      </c>
      <c r="C941" t="s">
        <v>1169</v>
      </c>
      <c r="D941" t="s">
        <v>1178</v>
      </c>
    </row>
    <row r="942" spans="1:4" hidden="1" x14ac:dyDescent="0.3">
      <c r="A942" t="s">
        <v>462</v>
      </c>
      <c r="B942" t="s">
        <v>1329</v>
      </c>
      <c r="C942" t="s">
        <v>1169</v>
      </c>
      <c r="D942" t="s">
        <v>1179</v>
      </c>
    </row>
    <row r="943" spans="1:4" hidden="1" x14ac:dyDescent="0.3">
      <c r="A943" t="s">
        <v>462</v>
      </c>
      <c r="B943" t="s">
        <v>1329</v>
      </c>
      <c r="C943" t="s">
        <v>1169</v>
      </c>
      <c r="D943" t="s">
        <v>1180</v>
      </c>
    </row>
    <row r="944" spans="1:4" hidden="1" x14ac:dyDescent="0.3">
      <c r="A944" t="s">
        <v>462</v>
      </c>
      <c r="B944" t="s">
        <v>1329</v>
      </c>
      <c r="C944" t="s">
        <v>1169</v>
      </c>
      <c r="D944" t="s">
        <v>1181</v>
      </c>
    </row>
    <row r="945" spans="1:4" hidden="1" x14ac:dyDescent="0.3">
      <c r="A945" t="s">
        <v>462</v>
      </c>
      <c r="B945" t="s">
        <v>1330</v>
      </c>
      <c r="C945" t="s">
        <v>1169</v>
      </c>
      <c r="D945" t="s">
        <v>1170</v>
      </c>
    </row>
    <row r="946" spans="1:4" hidden="1" x14ac:dyDescent="0.3">
      <c r="A946" t="s">
        <v>462</v>
      </c>
      <c r="B946" t="s">
        <v>1330</v>
      </c>
      <c r="C946" t="s">
        <v>1169</v>
      </c>
      <c r="D946" t="s">
        <v>1171</v>
      </c>
    </row>
    <row r="947" spans="1:4" hidden="1" x14ac:dyDescent="0.3">
      <c r="A947" t="s">
        <v>462</v>
      </c>
      <c r="B947" t="s">
        <v>1330</v>
      </c>
      <c r="C947" t="s">
        <v>1169</v>
      </c>
      <c r="D947" t="s">
        <v>1172</v>
      </c>
    </row>
    <row r="948" spans="1:4" hidden="1" x14ac:dyDescent="0.3">
      <c r="A948" t="s">
        <v>462</v>
      </c>
      <c r="B948" t="s">
        <v>1330</v>
      </c>
      <c r="C948" t="s">
        <v>1169</v>
      </c>
      <c r="D948" t="s">
        <v>1173</v>
      </c>
    </row>
    <row r="949" spans="1:4" hidden="1" x14ac:dyDescent="0.3">
      <c r="A949" t="s">
        <v>462</v>
      </c>
      <c r="B949" t="s">
        <v>1330</v>
      </c>
      <c r="C949" t="s">
        <v>1169</v>
      </c>
      <c r="D949" t="s">
        <v>1174</v>
      </c>
    </row>
    <row r="950" spans="1:4" hidden="1" x14ac:dyDescent="0.3">
      <c r="A950" t="s">
        <v>462</v>
      </c>
      <c r="B950" t="s">
        <v>1330</v>
      </c>
      <c r="C950" t="s">
        <v>1169</v>
      </c>
      <c r="D950" t="s">
        <v>1175</v>
      </c>
    </row>
    <row r="951" spans="1:4" hidden="1" x14ac:dyDescent="0.3">
      <c r="A951" t="s">
        <v>462</v>
      </c>
      <c r="B951" t="s">
        <v>1330</v>
      </c>
      <c r="C951" t="s">
        <v>1169</v>
      </c>
      <c r="D951" t="s">
        <v>1176</v>
      </c>
    </row>
    <row r="952" spans="1:4" hidden="1" x14ac:dyDescent="0.3">
      <c r="A952" t="s">
        <v>462</v>
      </c>
      <c r="B952" t="s">
        <v>1330</v>
      </c>
      <c r="C952" t="s">
        <v>1169</v>
      </c>
      <c r="D952" t="s">
        <v>1177</v>
      </c>
    </row>
    <row r="953" spans="1:4" hidden="1" x14ac:dyDescent="0.3">
      <c r="A953" t="s">
        <v>462</v>
      </c>
      <c r="B953" t="s">
        <v>1330</v>
      </c>
      <c r="C953" t="s">
        <v>1169</v>
      </c>
      <c r="D953" t="s">
        <v>1178</v>
      </c>
    </row>
    <row r="954" spans="1:4" hidden="1" x14ac:dyDescent="0.3">
      <c r="A954" t="s">
        <v>462</v>
      </c>
      <c r="B954" t="s">
        <v>1330</v>
      </c>
      <c r="C954" t="s">
        <v>1169</v>
      </c>
      <c r="D954" t="s">
        <v>1179</v>
      </c>
    </row>
    <row r="955" spans="1:4" hidden="1" x14ac:dyDescent="0.3">
      <c r="A955" t="s">
        <v>462</v>
      </c>
      <c r="B955" t="s">
        <v>1330</v>
      </c>
      <c r="C955" t="s">
        <v>1169</v>
      </c>
      <c r="D955" t="s">
        <v>1180</v>
      </c>
    </row>
    <row r="956" spans="1:4" hidden="1" x14ac:dyDescent="0.3">
      <c r="A956" t="s">
        <v>462</v>
      </c>
      <c r="B956" t="s">
        <v>1330</v>
      </c>
      <c r="C956" t="s">
        <v>1169</v>
      </c>
      <c r="D956" t="s">
        <v>1181</v>
      </c>
    </row>
    <row r="957" spans="1:4" hidden="1" x14ac:dyDescent="0.3">
      <c r="A957" t="s">
        <v>518</v>
      </c>
      <c r="B957" t="s">
        <v>1331</v>
      </c>
      <c r="C957" t="s">
        <v>1169</v>
      </c>
      <c r="D957" t="s">
        <v>1170</v>
      </c>
    </row>
    <row r="958" spans="1:4" hidden="1" x14ac:dyDescent="0.3">
      <c r="A958" t="s">
        <v>518</v>
      </c>
      <c r="B958" t="s">
        <v>1331</v>
      </c>
      <c r="C958" t="s">
        <v>1169</v>
      </c>
      <c r="D958" t="s">
        <v>1171</v>
      </c>
    </row>
    <row r="959" spans="1:4" hidden="1" x14ac:dyDescent="0.3">
      <c r="A959" t="s">
        <v>518</v>
      </c>
      <c r="B959" t="s">
        <v>1331</v>
      </c>
      <c r="C959" t="s">
        <v>1169</v>
      </c>
      <c r="D959" t="s">
        <v>1172</v>
      </c>
    </row>
    <row r="960" spans="1:4" hidden="1" x14ac:dyDescent="0.3">
      <c r="A960" t="s">
        <v>518</v>
      </c>
      <c r="B960" t="s">
        <v>1331</v>
      </c>
      <c r="C960" t="s">
        <v>1169</v>
      </c>
      <c r="D960" t="s">
        <v>1173</v>
      </c>
    </row>
    <row r="961" spans="1:4" hidden="1" x14ac:dyDescent="0.3">
      <c r="A961" t="s">
        <v>518</v>
      </c>
      <c r="B961" t="s">
        <v>1331</v>
      </c>
      <c r="C961" t="s">
        <v>1169</v>
      </c>
      <c r="D961" t="s">
        <v>1174</v>
      </c>
    </row>
    <row r="962" spans="1:4" hidden="1" x14ac:dyDescent="0.3">
      <c r="A962" t="s">
        <v>518</v>
      </c>
      <c r="B962" t="s">
        <v>1331</v>
      </c>
      <c r="C962" t="s">
        <v>1169</v>
      </c>
      <c r="D962" t="s">
        <v>1175</v>
      </c>
    </row>
    <row r="963" spans="1:4" hidden="1" x14ac:dyDescent="0.3">
      <c r="A963" t="s">
        <v>518</v>
      </c>
      <c r="B963" t="s">
        <v>1331</v>
      </c>
      <c r="C963" t="s">
        <v>1169</v>
      </c>
      <c r="D963" t="s">
        <v>1176</v>
      </c>
    </row>
    <row r="964" spans="1:4" hidden="1" x14ac:dyDescent="0.3">
      <c r="A964" t="s">
        <v>518</v>
      </c>
      <c r="B964" t="s">
        <v>1331</v>
      </c>
      <c r="C964" t="s">
        <v>1169</v>
      </c>
      <c r="D964" t="s">
        <v>1177</v>
      </c>
    </row>
    <row r="965" spans="1:4" hidden="1" x14ac:dyDescent="0.3">
      <c r="A965" t="s">
        <v>518</v>
      </c>
      <c r="B965" t="s">
        <v>1331</v>
      </c>
      <c r="C965" t="s">
        <v>1169</v>
      </c>
      <c r="D965" t="s">
        <v>1178</v>
      </c>
    </row>
    <row r="966" spans="1:4" hidden="1" x14ac:dyDescent="0.3">
      <c r="A966" t="s">
        <v>518</v>
      </c>
      <c r="B966" t="s">
        <v>1331</v>
      </c>
      <c r="C966" t="s">
        <v>1169</v>
      </c>
      <c r="D966" t="s">
        <v>1179</v>
      </c>
    </row>
    <row r="967" spans="1:4" hidden="1" x14ac:dyDescent="0.3">
      <c r="A967" t="s">
        <v>518</v>
      </c>
      <c r="B967" t="s">
        <v>1331</v>
      </c>
      <c r="C967" t="s">
        <v>1169</v>
      </c>
      <c r="D967" t="s">
        <v>1180</v>
      </c>
    </row>
    <row r="968" spans="1:4" hidden="1" x14ac:dyDescent="0.3">
      <c r="A968" t="s">
        <v>518</v>
      </c>
      <c r="B968" t="s">
        <v>1331</v>
      </c>
      <c r="C968" t="s">
        <v>1169</v>
      </c>
      <c r="D968" t="s">
        <v>1181</v>
      </c>
    </row>
    <row r="969" spans="1:4" hidden="1" x14ac:dyDescent="0.3">
      <c r="A969" t="s">
        <v>518</v>
      </c>
      <c r="B969" t="s">
        <v>1332</v>
      </c>
      <c r="C969" t="s">
        <v>1251</v>
      </c>
      <c r="D969" t="s">
        <v>1170</v>
      </c>
    </row>
    <row r="970" spans="1:4" hidden="1" x14ac:dyDescent="0.3">
      <c r="A970" t="s">
        <v>518</v>
      </c>
      <c r="B970" t="s">
        <v>1332</v>
      </c>
      <c r="C970" t="s">
        <v>1251</v>
      </c>
      <c r="D970" t="s">
        <v>1171</v>
      </c>
    </row>
    <row r="971" spans="1:4" hidden="1" x14ac:dyDescent="0.3">
      <c r="A971" t="s">
        <v>518</v>
      </c>
      <c r="B971" t="s">
        <v>1332</v>
      </c>
      <c r="C971" t="s">
        <v>1251</v>
      </c>
      <c r="D971" t="s">
        <v>1172</v>
      </c>
    </row>
    <row r="972" spans="1:4" hidden="1" x14ac:dyDescent="0.3">
      <c r="A972" t="s">
        <v>518</v>
      </c>
      <c r="B972" t="s">
        <v>1332</v>
      </c>
      <c r="C972" t="s">
        <v>1251</v>
      </c>
      <c r="D972" t="s">
        <v>1173</v>
      </c>
    </row>
    <row r="973" spans="1:4" hidden="1" x14ac:dyDescent="0.3">
      <c r="A973" t="s">
        <v>518</v>
      </c>
      <c r="B973" t="s">
        <v>1332</v>
      </c>
      <c r="C973" t="s">
        <v>1251</v>
      </c>
      <c r="D973" t="s">
        <v>1174</v>
      </c>
    </row>
    <row r="974" spans="1:4" hidden="1" x14ac:dyDescent="0.3">
      <c r="A974" t="s">
        <v>518</v>
      </c>
      <c r="B974" t="s">
        <v>1332</v>
      </c>
      <c r="C974" t="s">
        <v>1251</v>
      </c>
      <c r="D974" t="s">
        <v>1175</v>
      </c>
    </row>
    <row r="975" spans="1:4" hidden="1" x14ac:dyDescent="0.3">
      <c r="A975" t="s">
        <v>518</v>
      </c>
      <c r="B975" t="s">
        <v>1332</v>
      </c>
      <c r="C975" t="s">
        <v>1251</v>
      </c>
      <c r="D975" t="s">
        <v>1176</v>
      </c>
    </row>
    <row r="976" spans="1:4" hidden="1" x14ac:dyDescent="0.3">
      <c r="A976" t="s">
        <v>518</v>
      </c>
      <c r="B976" t="s">
        <v>1332</v>
      </c>
      <c r="C976" t="s">
        <v>1251</v>
      </c>
      <c r="D976" t="s">
        <v>1177</v>
      </c>
    </row>
    <row r="977" spans="1:4" hidden="1" x14ac:dyDescent="0.3">
      <c r="A977" t="s">
        <v>518</v>
      </c>
      <c r="B977" t="s">
        <v>1332</v>
      </c>
      <c r="C977" t="s">
        <v>1251</v>
      </c>
      <c r="D977" t="s">
        <v>1178</v>
      </c>
    </row>
    <row r="978" spans="1:4" hidden="1" x14ac:dyDescent="0.3">
      <c r="A978" t="s">
        <v>518</v>
      </c>
      <c r="B978" t="s">
        <v>1332</v>
      </c>
      <c r="C978" t="s">
        <v>1251</v>
      </c>
      <c r="D978" t="s">
        <v>1179</v>
      </c>
    </row>
    <row r="979" spans="1:4" hidden="1" x14ac:dyDescent="0.3">
      <c r="A979" t="s">
        <v>518</v>
      </c>
      <c r="B979" t="s">
        <v>1332</v>
      </c>
      <c r="C979" t="s">
        <v>1251</v>
      </c>
      <c r="D979" t="s">
        <v>1180</v>
      </c>
    </row>
    <row r="980" spans="1:4" hidden="1" x14ac:dyDescent="0.3">
      <c r="A980" t="s">
        <v>518</v>
      </c>
      <c r="B980" t="s">
        <v>1332</v>
      </c>
      <c r="C980" t="s">
        <v>1251</v>
      </c>
      <c r="D980" t="s">
        <v>1181</v>
      </c>
    </row>
    <row r="981" spans="1:4" hidden="1" x14ac:dyDescent="0.3">
      <c r="A981" t="s">
        <v>518</v>
      </c>
      <c r="B981" t="s">
        <v>1333</v>
      </c>
      <c r="C981" t="s">
        <v>61</v>
      </c>
      <c r="D981" t="s">
        <v>1170</v>
      </c>
    </row>
    <row r="982" spans="1:4" hidden="1" x14ac:dyDescent="0.3">
      <c r="A982" t="s">
        <v>518</v>
      </c>
      <c r="B982" t="s">
        <v>1333</v>
      </c>
      <c r="C982" t="s">
        <v>61</v>
      </c>
      <c r="D982" t="s">
        <v>1171</v>
      </c>
    </row>
    <row r="983" spans="1:4" hidden="1" x14ac:dyDescent="0.3">
      <c r="A983" t="s">
        <v>518</v>
      </c>
      <c r="B983" t="s">
        <v>1333</v>
      </c>
      <c r="C983" t="s">
        <v>61</v>
      </c>
      <c r="D983" t="s">
        <v>1172</v>
      </c>
    </row>
    <row r="984" spans="1:4" hidden="1" x14ac:dyDescent="0.3">
      <c r="A984" t="s">
        <v>518</v>
      </c>
      <c r="B984" t="s">
        <v>1333</v>
      </c>
      <c r="C984" t="s">
        <v>61</v>
      </c>
      <c r="D984" t="s">
        <v>1173</v>
      </c>
    </row>
    <row r="985" spans="1:4" hidden="1" x14ac:dyDescent="0.3">
      <c r="A985" t="s">
        <v>518</v>
      </c>
      <c r="B985" t="s">
        <v>1333</v>
      </c>
      <c r="C985" t="s">
        <v>61</v>
      </c>
      <c r="D985" t="s">
        <v>1174</v>
      </c>
    </row>
    <row r="986" spans="1:4" hidden="1" x14ac:dyDescent="0.3">
      <c r="A986" t="s">
        <v>518</v>
      </c>
      <c r="B986" t="s">
        <v>1333</v>
      </c>
      <c r="C986" t="s">
        <v>61</v>
      </c>
      <c r="D986" t="s">
        <v>1175</v>
      </c>
    </row>
    <row r="987" spans="1:4" hidden="1" x14ac:dyDescent="0.3">
      <c r="A987" t="s">
        <v>518</v>
      </c>
      <c r="B987" t="s">
        <v>1333</v>
      </c>
      <c r="C987" t="s">
        <v>61</v>
      </c>
      <c r="D987" t="s">
        <v>1176</v>
      </c>
    </row>
    <row r="988" spans="1:4" hidden="1" x14ac:dyDescent="0.3">
      <c r="A988" t="s">
        <v>518</v>
      </c>
      <c r="B988" t="s">
        <v>1333</v>
      </c>
      <c r="C988" t="s">
        <v>61</v>
      </c>
      <c r="D988" t="s">
        <v>1177</v>
      </c>
    </row>
    <row r="989" spans="1:4" hidden="1" x14ac:dyDescent="0.3">
      <c r="A989" t="s">
        <v>518</v>
      </c>
      <c r="B989" t="s">
        <v>1333</v>
      </c>
      <c r="C989" t="s">
        <v>61</v>
      </c>
      <c r="D989" t="s">
        <v>1178</v>
      </c>
    </row>
    <row r="990" spans="1:4" hidden="1" x14ac:dyDescent="0.3">
      <c r="A990" t="s">
        <v>518</v>
      </c>
      <c r="B990" t="s">
        <v>1333</v>
      </c>
      <c r="C990" t="s">
        <v>61</v>
      </c>
      <c r="D990" t="s">
        <v>1179</v>
      </c>
    </row>
    <row r="991" spans="1:4" hidden="1" x14ac:dyDescent="0.3">
      <c r="A991" t="s">
        <v>518</v>
      </c>
      <c r="B991" t="s">
        <v>1333</v>
      </c>
      <c r="C991" t="s">
        <v>61</v>
      </c>
      <c r="D991" t="s">
        <v>1180</v>
      </c>
    </row>
    <row r="992" spans="1:4" hidden="1" x14ac:dyDescent="0.3">
      <c r="A992" t="s">
        <v>518</v>
      </c>
      <c r="B992" t="s">
        <v>1333</v>
      </c>
      <c r="C992" t="s">
        <v>61</v>
      </c>
      <c r="D992" t="s">
        <v>1181</v>
      </c>
    </row>
    <row r="993" spans="1:7" hidden="1" x14ac:dyDescent="0.3">
      <c r="A993" t="s">
        <v>500</v>
      </c>
      <c r="B993" t="s">
        <v>1334</v>
      </c>
      <c r="C993" t="s">
        <v>1169</v>
      </c>
      <c r="D993" t="s">
        <v>1170</v>
      </c>
    </row>
    <row r="994" spans="1:7" hidden="1" x14ac:dyDescent="0.3">
      <c r="A994" t="s">
        <v>500</v>
      </c>
      <c r="B994" t="s">
        <v>1334</v>
      </c>
      <c r="C994" t="s">
        <v>1169</v>
      </c>
      <c r="D994" t="s">
        <v>1171</v>
      </c>
    </row>
    <row r="995" spans="1:7" hidden="1" x14ac:dyDescent="0.3">
      <c r="A995" t="s">
        <v>500</v>
      </c>
      <c r="B995" t="s">
        <v>1334</v>
      </c>
      <c r="C995" t="s">
        <v>1169</v>
      </c>
      <c r="D995" t="s">
        <v>1172</v>
      </c>
    </row>
    <row r="996" spans="1:7" hidden="1" x14ac:dyDescent="0.3">
      <c r="A996" t="s">
        <v>500</v>
      </c>
      <c r="B996" t="s">
        <v>1334</v>
      </c>
      <c r="C996" t="s">
        <v>1169</v>
      </c>
      <c r="D996" t="s">
        <v>1173</v>
      </c>
    </row>
    <row r="997" spans="1:7" hidden="1" x14ac:dyDescent="0.3">
      <c r="A997" t="s">
        <v>500</v>
      </c>
      <c r="B997" t="s">
        <v>1334</v>
      </c>
      <c r="C997" t="s">
        <v>1169</v>
      </c>
      <c r="D997" t="s">
        <v>1174</v>
      </c>
    </row>
    <row r="998" spans="1:7" hidden="1" x14ac:dyDescent="0.3">
      <c r="A998" t="s">
        <v>500</v>
      </c>
      <c r="B998" t="s">
        <v>1334</v>
      </c>
      <c r="C998" t="s">
        <v>1169</v>
      </c>
      <c r="D998" t="s">
        <v>1175</v>
      </c>
    </row>
    <row r="999" spans="1:7" hidden="1" x14ac:dyDescent="0.3">
      <c r="A999" t="s">
        <v>500</v>
      </c>
      <c r="B999" t="s">
        <v>1334</v>
      </c>
      <c r="C999" t="s">
        <v>1169</v>
      </c>
      <c r="D999" t="s">
        <v>1176</v>
      </c>
    </row>
    <row r="1000" spans="1:7" hidden="1" x14ac:dyDescent="0.3">
      <c r="A1000" t="s">
        <v>500</v>
      </c>
      <c r="B1000" t="s">
        <v>1334</v>
      </c>
      <c r="C1000" t="s">
        <v>1169</v>
      </c>
      <c r="D1000" t="s">
        <v>1177</v>
      </c>
    </row>
    <row r="1001" spans="1:7" hidden="1" x14ac:dyDescent="0.3">
      <c r="A1001" t="s">
        <v>500</v>
      </c>
      <c r="B1001" t="s">
        <v>1334</v>
      </c>
      <c r="C1001" t="s">
        <v>1169</v>
      </c>
      <c r="D1001" t="s">
        <v>1178</v>
      </c>
    </row>
    <row r="1002" spans="1:7" hidden="1" x14ac:dyDescent="0.3">
      <c r="A1002" t="s">
        <v>500</v>
      </c>
      <c r="B1002" t="s">
        <v>1334</v>
      </c>
      <c r="C1002" t="s">
        <v>1169</v>
      </c>
      <c r="D1002" t="s">
        <v>1179</v>
      </c>
    </row>
    <row r="1003" spans="1:7" hidden="1" x14ac:dyDescent="0.3">
      <c r="A1003" t="s">
        <v>500</v>
      </c>
      <c r="B1003" t="s">
        <v>1334</v>
      </c>
      <c r="C1003" t="s">
        <v>1169</v>
      </c>
      <c r="D1003" t="s">
        <v>1180</v>
      </c>
    </row>
    <row r="1004" spans="1:7" hidden="1" x14ac:dyDescent="0.3">
      <c r="A1004" t="s">
        <v>500</v>
      </c>
      <c r="B1004" t="s">
        <v>1334</v>
      </c>
      <c r="C1004" t="s">
        <v>1169</v>
      </c>
      <c r="D1004" t="s">
        <v>1181</v>
      </c>
    </row>
    <row r="1005" spans="1:7" x14ac:dyDescent="0.3">
      <c r="A1005" t="s">
        <v>500</v>
      </c>
      <c r="B1005" t="s">
        <v>1335</v>
      </c>
      <c r="C1005" t="s">
        <v>54</v>
      </c>
      <c r="D1005" t="s">
        <v>1170</v>
      </c>
      <c r="E1005" s="377">
        <v>557</v>
      </c>
      <c r="F1005" s="377">
        <v>557</v>
      </c>
      <c r="G1005" s="377">
        <v>0</v>
      </c>
    </row>
    <row r="1006" spans="1:7" x14ac:dyDescent="0.3">
      <c r="A1006" t="s">
        <v>500</v>
      </c>
      <c r="B1006" t="s">
        <v>1335</v>
      </c>
      <c r="C1006" t="s">
        <v>54</v>
      </c>
      <c r="D1006" t="s">
        <v>1171</v>
      </c>
      <c r="E1006" s="377">
        <v>398</v>
      </c>
      <c r="F1006" s="377">
        <v>398</v>
      </c>
      <c r="G1006" s="377">
        <v>0</v>
      </c>
    </row>
    <row r="1007" spans="1:7" x14ac:dyDescent="0.3">
      <c r="A1007" t="s">
        <v>500</v>
      </c>
      <c r="B1007" t="s">
        <v>1335</v>
      </c>
      <c r="C1007" t="s">
        <v>54</v>
      </c>
      <c r="D1007" t="s">
        <v>1172</v>
      </c>
      <c r="E1007" s="377">
        <v>523</v>
      </c>
      <c r="F1007" s="377">
        <v>523</v>
      </c>
      <c r="G1007" s="377">
        <v>0</v>
      </c>
    </row>
    <row r="1008" spans="1:7" x14ac:dyDescent="0.3">
      <c r="A1008" t="s">
        <v>500</v>
      </c>
      <c r="B1008" t="s">
        <v>1335</v>
      </c>
      <c r="C1008" t="s">
        <v>54</v>
      </c>
      <c r="D1008" t="s">
        <v>1173</v>
      </c>
      <c r="E1008" s="377">
        <v>555</v>
      </c>
      <c r="F1008" s="377">
        <v>555</v>
      </c>
      <c r="G1008" s="377">
        <v>0</v>
      </c>
    </row>
    <row r="1009" spans="1:7" x14ac:dyDescent="0.3">
      <c r="A1009" t="s">
        <v>500</v>
      </c>
      <c r="B1009" t="s">
        <v>1335</v>
      </c>
      <c r="C1009" t="s">
        <v>54</v>
      </c>
      <c r="D1009" t="s">
        <v>1174</v>
      </c>
      <c r="E1009" s="377">
        <v>506</v>
      </c>
      <c r="F1009" s="377">
        <v>506</v>
      </c>
      <c r="G1009" s="377">
        <v>0</v>
      </c>
    </row>
    <row r="1010" spans="1:7" x14ac:dyDescent="0.3">
      <c r="A1010" t="s">
        <v>500</v>
      </c>
      <c r="B1010" t="s">
        <v>1335</v>
      </c>
      <c r="C1010" t="s">
        <v>54</v>
      </c>
      <c r="D1010" t="s">
        <v>1175</v>
      </c>
      <c r="E1010" s="377">
        <v>435</v>
      </c>
      <c r="F1010" s="377">
        <v>435</v>
      </c>
      <c r="G1010" s="377">
        <v>0</v>
      </c>
    </row>
    <row r="1011" spans="1:7" x14ac:dyDescent="0.3">
      <c r="A1011" t="s">
        <v>500</v>
      </c>
      <c r="B1011" t="s">
        <v>1335</v>
      </c>
      <c r="C1011" t="s">
        <v>54</v>
      </c>
      <c r="D1011" t="s">
        <v>1176</v>
      </c>
      <c r="E1011" s="377">
        <v>460</v>
      </c>
      <c r="F1011" s="377">
        <v>460</v>
      </c>
      <c r="G1011" s="377">
        <v>0</v>
      </c>
    </row>
    <row r="1012" spans="1:7" x14ac:dyDescent="0.3">
      <c r="A1012" t="s">
        <v>500</v>
      </c>
      <c r="B1012" t="s">
        <v>1335</v>
      </c>
      <c r="C1012" t="s">
        <v>54</v>
      </c>
      <c r="D1012" t="s">
        <v>1177</v>
      </c>
      <c r="E1012" s="377">
        <v>416</v>
      </c>
      <c r="F1012" s="377">
        <v>416</v>
      </c>
      <c r="G1012" s="377">
        <v>0</v>
      </c>
    </row>
    <row r="1013" spans="1:7" x14ac:dyDescent="0.3">
      <c r="A1013" t="s">
        <v>500</v>
      </c>
      <c r="B1013" t="s">
        <v>1335</v>
      </c>
      <c r="C1013" t="s">
        <v>54</v>
      </c>
      <c r="D1013" t="s">
        <v>1178</v>
      </c>
      <c r="E1013" s="590">
        <v>487</v>
      </c>
      <c r="F1013" s="590">
        <v>0</v>
      </c>
      <c r="G1013" s="590">
        <v>487</v>
      </c>
    </row>
    <row r="1014" spans="1:7" x14ac:dyDescent="0.3">
      <c r="A1014" t="s">
        <v>500</v>
      </c>
      <c r="B1014" t="s">
        <v>1335</v>
      </c>
      <c r="C1014" t="s">
        <v>54</v>
      </c>
      <c r="D1014" t="s">
        <v>1179</v>
      </c>
      <c r="E1014" s="377">
        <v>572</v>
      </c>
      <c r="F1014" s="377">
        <v>572</v>
      </c>
      <c r="G1014" s="377">
        <v>0</v>
      </c>
    </row>
    <row r="1015" spans="1:7" x14ac:dyDescent="0.3">
      <c r="A1015" t="s">
        <v>500</v>
      </c>
      <c r="B1015" t="s">
        <v>1335</v>
      </c>
      <c r="C1015" t="s">
        <v>54</v>
      </c>
      <c r="D1015" t="s">
        <v>1180</v>
      </c>
      <c r="E1015" s="377">
        <v>474</v>
      </c>
      <c r="F1015" s="377">
        <v>474</v>
      </c>
      <c r="G1015" s="377">
        <v>0</v>
      </c>
    </row>
    <row r="1016" spans="1:7" x14ac:dyDescent="0.3">
      <c r="A1016" t="s">
        <v>500</v>
      </c>
      <c r="B1016" t="s">
        <v>1335</v>
      </c>
      <c r="C1016" t="s">
        <v>54</v>
      </c>
      <c r="D1016" t="s">
        <v>1181</v>
      </c>
      <c r="E1016" s="377">
        <v>466</v>
      </c>
      <c r="F1016" s="377">
        <v>466</v>
      </c>
      <c r="G1016" s="377">
        <v>0</v>
      </c>
    </row>
    <row r="1017" spans="1:7" hidden="1" x14ac:dyDescent="0.3">
      <c r="A1017" t="s">
        <v>500</v>
      </c>
      <c r="B1017" t="s">
        <v>1336</v>
      </c>
      <c r="C1017" t="s">
        <v>1169</v>
      </c>
      <c r="D1017" t="s">
        <v>1170</v>
      </c>
    </row>
    <row r="1018" spans="1:7" hidden="1" x14ac:dyDescent="0.3">
      <c r="A1018" t="s">
        <v>500</v>
      </c>
      <c r="B1018" t="s">
        <v>1336</v>
      </c>
      <c r="C1018" t="s">
        <v>1169</v>
      </c>
      <c r="D1018" t="s">
        <v>1171</v>
      </c>
    </row>
    <row r="1019" spans="1:7" hidden="1" x14ac:dyDescent="0.3">
      <c r="A1019" t="s">
        <v>500</v>
      </c>
      <c r="B1019" t="s">
        <v>1336</v>
      </c>
      <c r="C1019" t="s">
        <v>1169</v>
      </c>
      <c r="D1019" t="s">
        <v>1172</v>
      </c>
    </row>
    <row r="1020" spans="1:7" hidden="1" x14ac:dyDescent="0.3">
      <c r="A1020" t="s">
        <v>500</v>
      </c>
      <c r="B1020" t="s">
        <v>1336</v>
      </c>
      <c r="C1020" t="s">
        <v>1169</v>
      </c>
      <c r="D1020" t="s">
        <v>1173</v>
      </c>
    </row>
    <row r="1021" spans="1:7" hidden="1" x14ac:dyDescent="0.3">
      <c r="A1021" t="s">
        <v>500</v>
      </c>
      <c r="B1021" t="s">
        <v>1336</v>
      </c>
      <c r="C1021" t="s">
        <v>1169</v>
      </c>
      <c r="D1021" t="s">
        <v>1174</v>
      </c>
    </row>
    <row r="1022" spans="1:7" hidden="1" x14ac:dyDescent="0.3">
      <c r="A1022" t="s">
        <v>500</v>
      </c>
      <c r="B1022" t="s">
        <v>1336</v>
      </c>
      <c r="C1022" t="s">
        <v>1169</v>
      </c>
      <c r="D1022" t="s">
        <v>1175</v>
      </c>
    </row>
    <row r="1023" spans="1:7" hidden="1" x14ac:dyDescent="0.3">
      <c r="A1023" t="s">
        <v>500</v>
      </c>
      <c r="B1023" t="s">
        <v>1336</v>
      </c>
      <c r="C1023" t="s">
        <v>1169</v>
      </c>
      <c r="D1023" t="s">
        <v>1176</v>
      </c>
    </row>
    <row r="1024" spans="1:7" hidden="1" x14ac:dyDescent="0.3">
      <c r="A1024" t="s">
        <v>500</v>
      </c>
      <c r="B1024" t="s">
        <v>1336</v>
      </c>
      <c r="C1024" t="s">
        <v>1169</v>
      </c>
      <c r="D1024" t="s">
        <v>1177</v>
      </c>
    </row>
    <row r="1025" spans="1:4" hidden="1" x14ac:dyDescent="0.3">
      <c r="A1025" t="s">
        <v>500</v>
      </c>
      <c r="B1025" t="s">
        <v>1336</v>
      </c>
      <c r="C1025" t="s">
        <v>1169</v>
      </c>
      <c r="D1025" t="s">
        <v>1178</v>
      </c>
    </row>
    <row r="1026" spans="1:4" hidden="1" x14ac:dyDescent="0.3">
      <c r="A1026" t="s">
        <v>500</v>
      </c>
      <c r="B1026" t="s">
        <v>1336</v>
      </c>
      <c r="C1026" t="s">
        <v>1169</v>
      </c>
      <c r="D1026" t="s">
        <v>1179</v>
      </c>
    </row>
    <row r="1027" spans="1:4" hidden="1" x14ac:dyDescent="0.3">
      <c r="A1027" t="s">
        <v>500</v>
      </c>
      <c r="B1027" t="s">
        <v>1336</v>
      </c>
      <c r="C1027" t="s">
        <v>1169</v>
      </c>
      <c r="D1027" t="s">
        <v>1180</v>
      </c>
    </row>
    <row r="1028" spans="1:4" hidden="1" x14ac:dyDescent="0.3">
      <c r="A1028" t="s">
        <v>500</v>
      </c>
      <c r="B1028" t="s">
        <v>1336</v>
      </c>
      <c r="C1028" t="s">
        <v>1169</v>
      </c>
      <c r="D1028" t="s">
        <v>1181</v>
      </c>
    </row>
    <row r="1029" spans="1:4" hidden="1" x14ac:dyDescent="0.3">
      <c r="A1029" t="s">
        <v>500</v>
      </c>
      <c r="B1029" t="s">
        <v>1337</v>
      </c>
      <c r="C1029" t="s">
        <v>1169</v>
      </c>
      <c r="D1029" t="s">
        <v>1170</v>
      </c>
    </row>
    <row r="1030" spans="1:4" hidden="1" x14ac:dyDescent="0.3">
      <c r="A1030" t="s">
        <v>500</v>
      </c>
      <c r="B1030" t="s">
        <v>1337</v>
      </c>
      <c r="C1030" t="s">
        <v>1169</v>
      </c>
      <c r="D1030" t="s">
        <v>1171</v>
      </c>
    </row>
    <row r="1031" spans="1:4" hidden="1" x14ac:dyDescent="0.3">
      <c r="A1031" t="s">
        <v>500</v>
      </c>
      <c r="B1031" t="s">
        <v>1337</v>
      </c>
      <c r="C1031" t="s">
        <v>1169</v>
      </c>
      <c r="D1031" t="s">
        <v>1172</v>
      </c>
    </row>
    <row r="1032" spans="1:4" hidden="1" x14ac:dyDescent="0.3">
      <c r="A1032" t="s">
        <v>500</v>
      </c>
      <c r="B1032" t="s">
        <v>1337</v>
      </c>
      <c r="C1032" t="s">
        <v>1169</v>
      </c>
      <c r="D1032" t="s">
        <v>1173</v>
      </c>
    </row>
    <row r="1033" spans="1:4" hidden="1" x14ac:dyDescent="0.3">
      <c r="A1033" t="s">
        <v>500</v>
      </c>
      <c r="B1033" t="s">
        <v>1337</v>
      </c>
      <c r="C1033" t="s">
        <v>1169</v>
      </c>
      <c r="D1033" t="s">
        <v>1174</v>
      </c>
    </row>
    <row r="1034" spans="1:4" hidden="1" x14ac:dyDescent="0.3">
      <c r="A1034" t="s">
        <v>500</v>
      </c>
      <c r="B1034" t="s">
        <v>1337</v>
      </c>
      <c r="C1034" t="s">
        <v>1169</v>
      </c>
      <c r="D1034" t="s">
        <v>1175</v>
      </c>
    </row>
    <row r="1035" spans="1:4" hidden="1" x14ac:dyDescent="0.3">
      <c r="A1035" t="s">
        <v>500</v>
      </c>
      <c r="B1035" t="s">
        <v>1337</v>
      </c>
      <c r="C1035" t="s">
        <v>1169</v>
      </c>
      <c r="D1035" t="s">
        <v>1176</v>
      </c>
    </row>
    <row r="1036" spans="1:4" hidden="1" x14ac:dyDescent="0.3">
      <c r="A1036" t="s">
        <v>500</v>
      </c>
      <c r="B1036" t="s">
        <v>1337</v>
      </c>
      <c r="C1036" t="s">
        <v>1169</v>
      </c>
      <c r="D1036" t="s">
        <v>1177</v>
      </c>
    </row>
    <row r="1037" spans="1:4" hidden="1" x14ac:dyDescent="0.3">
      <c r="A1037" t="s">
        <v>500</v>
      </c>
      <c r="B1037" t="s">
        <v>1337</v>
      </c>
      <c r="C1037" t="s">
        <v>1169</v>
      </c>
      <c r="D1037" t="s">
        <v>1178</v>
      </c>
    </row>
    <row r="1038" spans="1:4" hidden="1" x14ac:dyDescent="0.3">
      <c r="A1038" t="s">
        <v>500</v>
      </c>
      <c r="B1038" t="s">
        <v>1337</v>
      </c>
      <c r="C1038" t="s">
        <v>1169</v>
      </c>
      <c r="D1038" t="s">
        <v>1179</v>
      </c>
    </row>
    <row r="1039" spans="1:4" hidden="1" x14ac:dyDescent="0.3">
      <c r="A1039" t="s">
        <v>500</v>
      </c>
      <c r="B1039" t="s">
        <v>1337</v>
      </c>
      <c r="C1039" t="s">
        <v>1169</v>
      </c>
      <c r="D1039" t="s">
        <v>1180</v>
      </c>
    </row>
    <row r="1040" spans="1:4" hidden="1" x14ac:dyDescent="0.3">
      <c r="A1040" t="s">
        <v>500</v>
      </c>
      <c r="B1040" t="s">
        <v>1337</v>
      </c>
      <c r="C1040" t="s">
        <v>1169</v>
      </c>
      <c r="D1040" t="s">
        <v>1181</v>
      </c>
    </row>
    <row r="1041" spans="1:4" hidden="1" x14ac:dyDescent="0.3">
      <c r="A1041" t="s">
        <v>500</v>
      </c>
      <c r="B1041" t="s">
        <v>1338</v>
      </c>
      <c r="C1041" t="s">
        <v>1169</v>
      </c>
      <c r="D1041" t="s">
        <v>1170</v>
      </c>
    </row>
    <row r="1042" spans="1:4" hidden="1" x14ac:dyDescent="0.3">
      <c r="A1042" t="s">
        <v>500</v>
      </c>
      <c r="B1042" t="s">
        <v>1338</v>
      </c>
      <c r="C1042" t="s">
        <v>1169</v>
      </c>
      <c r="D1042" t="s">
        <v>1171</v>
      </c>
    </row>
    <row r="1043" spans="1:4" hidden="1" x14ac:dyDescent="0.3">
      <c r="A1043" t="s">
        <v>500</v>
      </c>
      <c r="B1043" t="s">
        <v>1338</v>
      </c>
      <c r="C1043" t="s">
        <v>1169</v>
      </c>
      <c r="D1043" t="s">
        <v>1172</v>
      </c>
    </row>
    <row r="1044" spans="1:4" hidden="1" x14ac:dyDescent="0.3">
      <c r="A1044" t="s">
        <v>500</v>
      </c>
      <c r="B1044" t="s">
        <v>1338</v>
      </c>
      <c r="C1044" t="s">
        <v>1169</v>
      </c>
      <c r="D1044" t="s">
        <v>1173</v>
      </c>
    </row>
    <row r="1045" spans="1:4" hidden="1" x14ac:dyDescent="0.3">
      <c r="A1045" t="s">
        <v>500</v>
      </c>
      <c r="B1045" t="s">
        <v>1338</v>
      </c>
      <c r="C1045" t="s">
        <v>1169</v>
      </c>
      <c r="D1045" t="s">
        <v>1174</v>
      </c>
    </row>
    <row r="1046" spans="1:4" hidden="1" x14ac:dyDescent="0.3">
      <c r="A1046" t="s">
        <v>500</v>
      </c>
      <c r="B1046" t="s">
        <v>1338</v>
      </c>
      <c r="C1046" t="s">
        <v>1169</v>
      </c>
      <c r="D1046" t="s">
        <v>1175</v>
      </c>
    </row>
    <row r="1047" spans="1:4" hidden="1" x14ac:dyDescent="0.3">
      <c r="A1047" t="s">
        <v>500</v>
      </c>
      <c r="B1047" t="s">
        <v>1338</v>
      </c>
      <c r="C1047" t="s">
        <v>1169</v>
      </c>
      <c r="D1047" t="s">
        <v>1176</v>
      </c>
    </row>
    <row r="1048" spans="1:4" hidden="1" x14ac:dyDescent="0.3">
      <c r="A1048" t="s">
        <v>500</v>
      </c>
      <c r="B1048" t="s">
        <v>1338</v>
      </c>
      <c r="C1048" t="s">
        <v>1169</v>
      </c>
      <c r="D1048" t="s">
        <v>1177</v>
      </c>
    </row>
    <row r="1049" spans="1:4" hidden="1" x14ac:dyDescent="0.3">
      <c r="A1049" t="s">
        <v>500</v>
      </c>
      <c r="B1049" t="s">
        <v>1338</v>
      </c>
      <c r="C1049" t="s">
        <v>1169</v>
      </c>
      <c r="D1049" t="s">
        <v>1178</v>
      </c>
    </row>
    <row r="1050" spans="1:4" hidden="1" x14ac:dyDescent="0.3">
      <c r="A1050" t="s">
        <v>500</v>
      </c>
      <c r="B1050" t="s">
        <v>1338</v>
      </c>
      <c r="C1050" t="s">
        <v>1169</v>
      </c>
      <c r="D1050" t="s">
        <v>1179</v>
      </c>
    </row>
    <row r="1051" spans="1:4" hidden="1" x14ac:dyDescent="0.3">
      <c r="A1051" t="s">
        <v>500</v>
      </c>
      <c r="B1051" t="s">
        <v>1338</v>
      </c>
      <c r="C1051" t="s">
        <v>1169</v>
      </c>
      <c r="D1051" t="s">
        <v>1180</v>
      </c>
    </row>
    <row r="1052" spans="1:4" hidden="1" x14ac:dyDescent="0.3">
      <c r="A1052" t="s">
        <v>500</v>
      </c>
      <c r="B1052" t="s">
        <v>1338</v>
      </c>
      <c r="C1052" t="s">
        <v>1169</v>
      </c>
      <c r="D1052" t="s">
        <v>1181</v>
      </c>
    </row>
    <row r="1053" spans="1:4" hidden="1" x14ac:dyDescent="0.3">
      <c r="A1053" t="s">
        <v>500</v>
      </c>
      <c r="B1053" t="s">
        <v>1339</v>
      </c>
      <c r="C1053" t="s">
        <v>1169</v>
      </c>
      <c r="D1053" t="s">
        <v>1170</v>
      </c>
    </row>
    <row r="1054" spans="1:4" hidden="1" x14ac:dyDescent="0.3">
      <c r="A1054" t="s">
        <v>500</v>
      </c>
      <c r="B1054" t="s">
        <v>1339</v>
      </c>
      <c r="C1054" t="s">
        <v>1169</v>
      </c>
      <c r="D1054" t="s">
        <v>1171</v>
      </c>
    </row>
    <row r="1055" spans="1:4" hidden="1" x14ac:dyDescent="0.3">
      <c r="A1055" t="s">
        <v>500</v>
      </c>
      <c r="B1055" t="s">
        <v>1339</v>
      </c>
      <c r="C1055" t="s">
        <v>1169</v>
      </c>
      <c r="D1055" t="s">
        <v>1172</v>
      </c>
    </row>
    <row r="1056" spans="1:4" hidden="1" x14ac:dyDescent="0.3">
      <c r="A1056" t="s">
        <v>500</v>
      </c>
      <c r="B1056" t="s">
        <v>1339</v>
      </c>
      <c r="C1056" t="s">
        <v>1169</v>
      </c>
      <c r="D1056" t="s">
        <v>1173</v>
      </c>
    </row>
    <row r="1057" spans="1:4" hidden="1" x14ac:dyDescent="0.3">
      <c r="A1057" t="s">
        <v>500</v>
      </c>
      <c r="B1057" t="s">
        <v>1339</v>
      </c>
      <c r="C1057" t="s">
        <v>1169</v>
      </c>
      <c r="D1057" t="s">
        <v>1174</v>
      </c>
    </row>
    <row r="1058" spans="1:4" hidden="1" x14ac:dyDescent="0.3">
      <c r="A1058" t="s">
        <v>500</v>
      </c>
      <c r="B1058" t="s">
        <v>1339</v>
      </c>
      <c r="C1058" t="s">
        <v>1169</v>
      </c>
      <c r="D1058" t="s">
        <v>1175</v>
      </c>
    </row>
    <row r="1059" spans="1:4" hidden="1" x14ac:dyDescent="0.3">
      <c r="A1059" t="s">
        <v>500</v>
      </c>
      <c r="B1059" t="s">
        <v>1339</v>
      </c>
      <c r="C1059" t="s">
        <v>1169</v>
      </c>
      <c r="D1059" t="s">
        <v>1176</v>
      </c>
    </row>
    <row r="1060" spans="1:4" hidden="1" x14ac:dyDescent="0.3">
      <c r="A1060" t="s">
        <v>500</v>
      </c>
      <c r="B1060" t="s">
        <v>1339</v>
      </c>
      <c r="C1060" t="s">
        <v>1169</v>
      </c>
      <c r="D1060" t="s">
        <v>1177</v>
      </c>
    </row>
    <row r="1061" spans="1:4" hidden="1" x14ac:dyDescent="0.3">
      <c r="A1061" t="s">
        <v>500</v>
      </c>
      <c r="B1061" t="s">
        <v>1339</v>
      </c>
      <c r="C1061" t="s">
        <v>1169</v>
      </c>
      <c r="D1061" t="s">
        <v>1178</v>
      </c>
    </row>
    <row r="1062" spans="1:4" hidden="1" x14ac:dyDescent="0.3">
      <c r="A1062" t="s">
        <v>500</v>
      </c>
      <c r="B1062" t="s">
        <v>1339</v>
      </c>
      <c r="C1062" t="s">
        <v>1169</v>
      </c>
      <c r="D1062" t="s">
        <v>1179</v>
      </c>
    </row>
    <row r="1063" spans="1:4" hidden="1" x14ac:dyDescent="0.3">
      <c r="A1063" t="s">
        <v>500</v>
      </c>
      <c r="B1063" t="s">
        <v>1339</v>
      </c>
      <c r="C1063" t="s">
        <v>1169</v>
      </c>
      <c r="D1063" t="s">
        <v>1180</v>
      </c>
    </row>
    <row r="1064" spans="1:4" hidden="1" x14ac:dyDescent="0.3">
      <c r="A1064" t="s">
        <v>500</v>
      </c>
      <c r="B1064" t="s">
        <v>1339</v>
      </c>
      <c r="C1064" t="s">
        <v>1169</v>
      </c>
      <c r="D1064" t="s">
        <v>1181</v>
      </c>
    </row>
    <row r="1065" spans="1:4" hidden="1" x14ac:dyDescent="0.3">
      <c r="A1065" t="s">
        <v>500</v>
      </c>
      <c r="B1065" t="s">
        <v>1340</v>
      </c>
      <c r="C1065" t="s">
        <v>1169</v>
      </c>
      <c r="D1065" t="s">
        <v>1170</v>
      </c>
    </row>
    <row r="1066" spans="1:4" hidden="1" x14ac:dyDescent="0.3">
      <c r="A1066" t="s">
        <v>500</v>
      </c>
      <c r="B1066" t="s">
        <v>1340</v>
      </c>
      <c r="C1066" t="s">
        <v>1169</v>
      </c>
      <c r="D1066" t="s">
        <v>1171</v>
      </c>
    </row>
    <row r="1067" spans="1:4" hidden="1" x14ac:dyDescent="0.3">
      <c r="A1067" t="s">
        <v>500</v>
      </c>
      <c r="B1067" t="s">
        <v>1340</v>
      </c>
      <c r="C1067" t="s">
        <v>1169</v>
      </c>
      <c r="D1067" t="s">
        <v>1172</v>
      </c>
    </row>
    <row r="1068" spans="1:4" hidden="1" x14ac:dyDescent="0.3">
      <c r="A1068" t="s">
        <v>500</v>
      </c>
      <c r="B1068" t="s">
        <v>1340</v>
      </c>
      <c r="C1068" t="s">
        <v>1169</v>
      </c>
      <c r="D1068" t="s">
        <v>1173</v>
      </c>
    </row>
    <row r="1069" spans="1:4" hidden="1" x14ac:dyDescent="0.3">
      <c r="A1069" t="s">
        <v>500</v>
      </c>
      <c r="B1069" t="s">
        <v>1340</v>
      </c>
      <c r="C1069" t="s">
        <v>1169</v>
      </c>
      <c r="D1069" t="s">
        <v>1174</v>
      </c>
    </row>
    <row r="1070" spans="1:4" hidden="1" x14ac:dyDescent="0.3">
      <c r="A1070" t="s">
        <v>500</v>
      </c>
      <c r="B1070" t="s">
        <v>1340</v>
      </c>
      <c r="C1070" t="s">
        <v>1169</v>
      </c>
      <c r="D1070" t="s">
        <v>1175</v>
      </c>
    </row>
    <row r="1071" spans="1:4" hidden="1" x14ac:dyDescent="0.3">
      <c r="A1071" t="s">
        <v>500</v>
      </c>
      <c r="B1071" t="s">
        <v>1340</v>
      </c>
      <c r="C1071" t="s">
        <v>1169</v>
      </c>
      <c r="D1071" t="s">
        <v>1176</v>
      </c>
    </row>
    <row r="1072" spans="1:4" hidden="1" x14ac:dyDescent="0.3">
      <c r="A1072" t="s">
        <v>500</v>
      </c>
      <c r="B1072" t="s">
        <v>1340</v>
      </c>
      <c r="C1072" t="s">
        <v>1169</v>
      </c>
      <c r="D1072" t="s">
        <v>1177</v>
      </c>
    </row>
    <row r="1073" spans="1:4" hidden="1" x14ac:dyDescent="0.3">
      <c r="A1073" t="s">
        <v>500</v>
      </c>
      <c r="B1073" t="s">
        <v>1340</v>
      </c>
      <c r="C1073" t="s">
        <v>1169</v>
      </c>
      <c r="D1073" t="s">
        <v>1178</v>
      </c>
    </row>
    <row r="1074" spans="1:4" hidden="1" x14ac:dyDescent="0.3">
      <c r="A1074" t="s">
        <v>500</v>
      </c>
      <c r="B1074" t="s">
        <v>1340</v>
      </c>
      <c r="C1074" t="s">
        <v>1169</v>
      </c>
      <c r="D1074" t="s">
        <v>1179</v>
      </c>
    </row>
    <row r="1075" spans="1:4" hidden="1" x14ac:dyDescent="0.3">
      <c r="A1075" t="s">
        <v>500</v>
      </c>
      <c r="B1075" t="s">
        <v>1340</v>
      </c>
      <c r="C1075" t="s">
        <v>1169</v>
      </c>
      <c r="D1075" t="s">
        <v>1180</v>
      </c>
    </row>
    <row r="1076" spans="1:4" hidden="1" x14ac:dyDescent="0.3">
      <c r="A1076" t="s">
        <v>500</v>
      </c>
      <c r="B1076" t="s">
        <v>1340</v>
      </c>
      <c r="C1076" t="s">
        <v>1169</v>
      </c>
      <c r="D1076" t="s">
        <v>1181</v>
      </c>
    </row>
    <row r="1077" spans="1:4" hidden="1" x14ac:dyDescent="0.3">
      <c r="A1077" t="s">
        <v>500</v>
      </c>
      <c r="B1077" t="s">
        <v>1341</v>
      </c>
      <c r="C1077" t="s">
        <v>1169</v>
      </c>
      <c r="D1077" t="s">
        <v>1170</v>
      </c>
    </row>
    <row r="1078" spans="1:4" hidden="1" x14ac:dyDescent="0.3">
      <c r="A1078" t="s">
        <v>500</v>
      </c>
      <c r="B1078" t="s">
        <v>1341</v>
      </c>
      <c r="C1078" t="s">
        <v>1169</v>
      </c>
      <c r="D1078" t="s">
        <v>1171</v>
      </c>
    </row>
    <row r="1079" spans="1:4" hidden="1" x14ac:dyDescent="0.3">
      <c r="A1079" t="s">
        <v>500</v>
      </c>
      <c r="B1079" t="s">
        <v>1341</v>
      </c>
      <c r="C1079" t="s">
        <v>1169</v>
      </c>
      <c r="D1079" t="s">
        <v>1172</v>
      </c>
    </row>
    <row r="1080" spans="1:4" hidden="1" x14ac:dyDescent="0.3">
      <c r="A1080" t="s">
        <v>500</v>
      </c>
      <c r="B1080" t="s">
        <v>1341</v>
      </c>
      <c r="C1080" t="s">
        <v>1169</v>
      </c>
      <c r="D1080" t="s">
        <v>1173</v>
      </c>
    </row>
    <row r="1081" spans="1:4" hidden="1" x14ac:dyDescent="0.3">
      <c r="A1081" t="s">
        <v>500</v>
      </c>
      <c r="B1081" t="s">
        <v>1341</v>
      </c>
      <c r="C1081" t="s">
        <v>1169</v>
      </c>
      <c r="D1081" t="s">
        <v>1174</v>
      </c>
    </row>
    <row r="1082" spans="1:4" hidden="1" x14ac:dyDescent="0.3">
      <c r="A1082" t="s">
        <v>500</v>
      </c>
      <c r="B1082" t="s">
        <v>1341</v>
      </c>
      <c r="C1082" t="s">
        <v>1169</v>
      </c>
      <c r="D1082" t="s">
        <v>1175</v>
      </c>
    </row>
    <row r="1083" spans="1:4" hidden="1" x14ac:dyDescent="0.3">
      <c r="A1083" t="s">
        <v>500</v>
      </c>
      <c r="B1083" t="s">
        <v>1341</v>
      </c>
      <c r="C1083" t="s">
        <v>1169</v>
      </c>
      <c r="D1083" t="s">
        <v>1176</v>
      </c>
    </row>
    <row r="1084" spans="1:4" hidden="1" x14ac:dyDescent="0.3">
      <c r="A1084" t="s">
        <v>500</v>
      </c>
      <c r="B1084" t="s">
        <v>1341</v>
      </c>
      <c r="C1084" t="s">
        <v>1169</v>
      </c>
      <c r="D1084" t="s">
        <v>1177</v>
      </c>
    </row>
    <row r="1085" spans="1:4" hidden="1" x14ac:dyDescent="0.3">
      <c r="A1085" t="s">
        <v>500</v>
      </c>
      <c r="B1085" t="s">
        <v>1341</v>
      </c>
      <c r="C1085" t="s">
        <v>1169</v>
      </c>
      <c r="D1085" t="s">
        <v>1178</v>
      </c>
    </row>
    <row r="1086" spans="1:4" hidden="1" x14ac:dyDescent="0.3">
      <c r="A1086" t="s">
        <v>500</v>
      </c>
      <c r="B1086" t="s">
        <v>1341</v>
      </c>
      <c r="C1086" t="s">
        <v>1169</v>
      </c>
      <c r="D1086" t="s">
        <v>1179</v>
      </c>
    </row>
    <row r="1087" spans="1:4" hidden="1" x14ac:dyDescent="0.3">
      <c r="A1087" t="s">
        <v>500</v>
      </c>
      <c r="B1087" t="s">
        <v>1341</v>
      </c>
      <c r="C1087" t="s">
        <v>1169</v>
      </c>
      <c r="D1087" t="s">
        <v>1180</v>
      </c>
    </row>
    <row r="1088" spans="1:4" hidden="1" x14ac:dyDescent="0.3">
      <c r="A1088" t="s">
        <v>500</v>
      </c>
      <c r="B1088" t="s">
        <v>1341</v>
      </c>
      <c r="C1088" t="s">
        <v>1169</v>
      </c>
      <c r="D1088" t="s">
        <v>1181</v>
      </c>
    </row>
    <row r="1089" spans="1:4" hidden="1" x14ac:dyDescent="0.3">
      <c r="A1089" t="s">
        <v>500</v>
      </c>
      <c r="B1089" t="s">
        <v>1342</v>
      </c>
      <c r="C1089" t="s">
        <v>61</v>
      </c>
      <c r="D1089" t="s">
        <v>1170</v>
      </c>
    </row>
    <row r="1090" spans="1:4" hidden="1" x14ac:dyDescent="0.3">
      <c r="A1090" t="s">
        <v>500</v>
      </c>
      <c r="B1090" t="s">
        <v>1342</v>
      </c>
      <c r="C1090" t="s">
        <v>61</v>
      </c>
      <c r="D1090" t="s">
        <v>1171</v>
      </c>
    </row>
    <row r="1091" spans="1:4" hidden="1" x14ac:dyDescent="0.3">
      <c r="A1091" t="s">
        <v>500</v>
      </c>
      <c r="B1091" t="s">
        <v>1342</v>
      </c>
      <c r="C1091" t="s">
        <v>61</v>
      </c>
      <c r="D1091" t="s">
        <v>1172</v>
      </c>
    </row>
    <row r="1092" spans="1:4" hidden="1" x14ac:dyDescent="0.3">
      <c r="A1092" t="s">
        <v>500</v>
      </c>
      <c r="B1092" t="s">
        <v>1342</v>
      </c>
      <c r="C1092" t="s">
        <v>61</v>
      </c>
      <c r="D1092" t="s">
        <v>1173</v>
      </c>
    </row>
    <row r="1093" spans="1:4" hidden="1" x14ac:dyDescent="0.3">
      <c r="A1093" t="s">
        <v>500</v>
      </c>
      <c r="B1093" t="s">
        <v>1342</v>
      </c>
      <c r="C1093" t="s">
        <v>61</v>
      </c>
      <c r="D1093" t="s">
        <v>1174</v>
      </c>
    </row>
    <row r="1094" spans="1:4" hidden="1" x14ac:dyDescent="0.3">
      <c r="A1094" t="s">
        <v>500</v>
      </c>
      <c r="B1094" t="s">
        <v>1342</v>
      </c>
      <c r="C1094" t="s">
        <v>61</v>
      </c>
      <c r="D1094" t="s">
        <v>1175</v>
      </c>
    </row>
    <row r="1095" spans="1:4" hidden="1" x14ac:dyDescent="0.3">
      <c r="A1095" t="s">
        <v>500</v>
      </c>
      <c r="B1095" t="s">
        <v>1342</v>
      </c>
      <c r="C1095" t="s">
        <v>61</v>
      </c>
      <c r="D1095" t="s">
        <v>1176</v>
      </c>
    </row>
    <row r="1096" spans="1:4" hidden="1" x14ac:dyDescent="0.3">
      <c r="A1096" t="s">
        <v>500</v>
      </c>
      <c r="B1096" t="s">
        <v>1342</v>
      </c>
      <c r="C1096" t="s">
        <v>61</v>
      </c>
      <c r="D1096" t="s">
        <v>1177</v>
      </c>
    </row>
    <row r="1097" spans="1:4" hidden="1" x14ac:dyDescent="0.3">
      <c r="A1097" t="s">
        <v>500</v>
      </c>
      <c r="B1097" t="s">
        <v>1342</v>
      </c>
      <c r="C1097" t="s">
        <v>61</v>
      </c>
      <c r="D1097" t="s">
        <v>1178</v>
      </c>
    </row>
    <row r="1098" spans="1:4" hidden="1" x14ac:dyDescent="0.3">
      <c r="A1098" t="s">
        <v>500</v>
      </c>
      <c r="B1098" t="s">
        <v>1342</v>
      </c>
      <c r="C1098" t="s">
        <v>61</v>
      </c>
      <c r="D1098" t="s">
        <v>1179</v>
      </c>
    </row>
    <row r="1099" spans="1:4" hidden="1" x14ac:dyDescent="0.3">
      <c r="A1099" t="s">
        <v>500</v>
      </c>
      <c r="B1099" t="s">
        <v>1342</v>
      </c>
      <c r="C1099" t="s">
        <v>61</v>
      </c>
      <c r="D1099" t="s">
        <v>1180</v>
      </c>
    </row>
    <row r="1100" spans="1:4" hidden="1" x14ac:dyDescent="0.3">
      <c r="A1100" t="s">
        <v>500</v>
      </c>
      <c r="B1100" t="s">
        <v>1342</v>
      </c>
      <c r="C1100" t="s">
        <v>61</v>
      </c>
      <c r="D1100" t="s">
        <v>1181</v>
      </c>
    </row>
    <row r="1101" spans="1:4" hidden="1" x14ac:dyDescent="0.3">
      <c r="A1101" t="s">
        <v>500</v>
      </c>
      <c r="B1101" t="s">
        <v>1343</v>
      </c>
      <c r="C1101" t="s">
        <v>61</v>
      </c>
      <c r="D1101" t="s">
        <v>1170</v>
      </c>
    </row>
    <row r="1102" spans="1:4" hidden="1" x14ac:dyDescent="0.3">
      <c r="A1102" t="s">
        <v>500</v>
      </c>
      <c r="B1102" t="s">
        <v>1343</v>
      </c>
      <c r="C1102" t="s">
        <v>61</v>
      </c>
      <c r="D1102" t="s">
        <v>1171</v>
      </c>
    </row>
    <row r="1103" spans="1:4" hidden="1" x14ac:dyDescent="0.3">
      <c r="A1103" t="s">
        <v>500</v>
      </c>
      <c r="B1103" t="s">
        <v>1343</v>
      </c>
      <c r="C1103" t="s">
        <v>61</v>
      </c>
      <c r="D1103" t="s">
        <v>1172</v>
      </c>
    </row>
    <row r="1104" spans="1:4" hidden="1" x14ac:dyDescent="0.3">
      <c r="A1104" t="s">
        <v>500</v>
      </c>
      <c r="B1104" t="s">
        <v>1343</v>
      </c>
      <c r="C1104" t="s">
        <v>61</v>
      </c>
      <c r="D1104" t="s">
        <v>1173</v>
      </c>
    </row>
    <row r="1105" spans="1:4" hidden="1" x14ac:dyDescent="0.3">
      <c r="A1105" t="s">
        <v>500</v>
      </c>
      <c r="B1105" t="s">
        <v>1343</v>
      </c>
      <c r="C1105" t="s">
        <v>61</v>
      </c>
      <c r="D1105" t="s">
        <v>1174</v>
      </c>
    </row>
    <row r="1106" spans="1:4" hidden="1" x14ac:dyDescent="0.3">
      <c r="A1106" t="s">
        <v>500</v>
      </c>
      <c r="B1106" t="s">
        <v>1343</v>
      </c>
      <c r="C1106" t="s">
        <v>61</v>
      </c>
      <c r="D1106" t="s">
        <v>1175</v>
      </c>
    </row>
    <row r="1107" spans="1:4" hidden="1" x14ac:dyDescent="0.3">
      <c r="A1107" t="s">
        <v>500</v>
      </c>
      <c r="B1107" t="s">
        <v>1343</v>
      </c>
      <c r="C1107" t="s">
        <v>61</v>
      </c>
      <c r="D1107" t="s">
        <v>1176</v>
      </c>
    </row>
    <row r="1108" spans="1:4" hidden="1" x14ac:dyDescent="0.3">
      <c r="A1108" t="s">
        <v>500</v>
      </c>
      <c r="B1108" t="s">
        <v>1343</v>
      </c>
      <c r="C1108" t="s">
        <v>61</v>
      </c>
      <c r="D1108" t="s">
        <v>1177</v>
      </c>
    </row>
    <row r="1109" spans="1:4" hidden="1" x14ac:dyDescent="0.3">
      <c r="A1109" t="s">
        <v>500</v>
      </c>
      <c r="B1109" t="s">
        <v>1343</v>
      </c>
      <c r="C1109" t="s">
        <v>61</v>
      </c>
      <c r="D1109" t="s">
        <v>1178</v>
      </c>
    </row>
    <row r="1110" spans="1:4" hidden="1" x14ac:dyDescent="0.3">
      <c r="A1110" t="s">
        <v>500</v>
      </c>
      <c r="B1110" t="s">
        <v>1343</v>
      </c>
      <c r="C1110" t="s">
        <v>61</v>
      </c>
      <c r="D1110" t="s">
        <v>1179</v>
      </c>
    </row>
    <row r="1111" spans="1:4" hidden="1" x14ac:dyDescent="0.3">
      <c r="A1111" t="s">
        <v>500</v>
      </c>
      <c r="B1111" t="s">
        <v>1343</v>
      </c>
      <c r="C1111" t="s">
        <v>61</v>
      </c>
      <c r="D1111" t="s">
        <v>1180</v>
      </c>
    </row>
    <row r="1112" spans="1:4" hidden="1" x14ac:dyDescent="0.3">
      <c r="A1112" t="s">
        <v>500</v>
      </c>
      <c r="B1112" t="s">
        <v>1343</v>
      </c>
      <c r="C1112" t="s">
        <v>61</v>
      </c>
      <c r="D1112" t="s">
        <v>1181</v>
      </c>
    </row>
    <row r="1113" spans="1:4" hidden="1" x14ac:dyDescent="0.3">
      <c r="A1113" t="s">
        <v>500</v>
      </c>
      <c r="B1113" t="s">
        <v>1344</v>
      </c>
      <c r="C1113" t="s">
        <v>61</v>
      </c>
      <c r="D1113" t="s">
        <v>1170</v>
      </c>
    </row>
    <row r="1114" spans="1:4" hidden="1" x14ac:dyDescent="0.3">
      <c r="A1114" t="s">
        <v>500</v>
      </c>
      <c r="B1114" t="s">
        <v>1344</v>
      </c>
      <c r="C1114" t="s">
        <v>61</v>
      </c>
      <c r="D1114" t="s">
        <v>1171</v>
      </c>
    </row>
    <row r="1115" spans="1:4" hidden="1" x14ac:dyDescent="0.3">
      <c r="A1115" t="s">
        <v>500</v>
      </c>
      <c r="B1115" t="s">
        <v>1344</v>
      </c>
      <c r="C1115" t="s">
        <v>61</v>
      </c>
      <c r="D1115" t="s">
        <v>1172</v>
      </c>
    </row>
    <row r="1116" spans="1:4" hidden="1" x14ac:dyDescent="0.3">
      <c r="A1116" t="s">
        <v>500</v>
      </c>
      <c r="B1116" t="s">
        <v>1344</v>
      </c>
      <c r="C1116" t="s">
        <v>61</v>
      </c>
      <c r="D1116" t="s">
        <v>1173</v>
      </c>
    </row>
    <row r="1117" spans="1:4" hidden="1" x14ac:dyDescent="0.3">
      <c r="A1117" t="s">
        <v>500</v>
      </c>
      <c r="B1117" t="s">
        <v>1344</v>
      </c>
      <c r="C1117" t="s">
        <v>61</v>
      </c>
      <c r="D1117" t="s">
        <v>1174</v>
      </c>
    </row>
    <row r="1118" spans="1:4" hidden="1" x14ac:dyDescent="0.3">
      <c r="A1118" t="s">
        <v>500</v>
      </c>
      <c r="B1118" t="s">
        <v>1344</v>
      </c>
      <c r="C1118" t="s">
        <v>61</v>
      </c>
      <c r="D1118" t="s">
        <v>1175</v>
      </c>
    </row>
    <row r="1119" spans="1:4" hidden="1" x14ac:dyDescent="0.3">
      <c r="A1119" t="s">
        <v>500</v>
      </c>
      <c r="B1119" t="s">
        <v>1344</v>
      </c>
      <c r="C1119" t="s">
        <v>61</v>
      </c>
      <c r="D1119" t="s">
        <v>1176</v>
      </c>
    </row>
    <row r="1120" spans="1:4" hidden="1" x14ac:dyDescent="0.3">
      <c r="A1120" t="s">
        <v>500</v>
      </c>
      <c r="B1120" t="s">
        <v>1344</v>
      </c>
      <c r="C1120" t="s">
        <v>61</v>
      </c>
      <c r="D1120" t="s">
        <v>1177</v>
      </c>
    </row>
    <row r="1121" spans="1:4" hidden="1" x14ac:dyDescent="0.3">
      <c r="A1121" t="s">
        <v>500</v>
      </c>
      <c r="B1121" t="s">
        <v>1344</v>
      </c>
      <c r="C1121" t="s">
        <v>61</v>
      </c>
      <c r="D1121" t="s">
        <v>1178</v>
      </c>
    </row>
    <row r="1122" spans="1:4" hidden="1" x14ac:dyDescent="0.3">
      <c r="A1122" t="s">
        <v>500</v>
      </c>
      <c r="B1122" t="s">
        <v>1344</v>
      </c>
      <c r="C1122" t="s">
        <v>61</v>
      </c>
      <c r="D1122" t="s">
        <v>1179</v>
      </c>
    </row>
    <row r="1123" spans="1:4" hidden="1" x14ac:dyDescent="0.3">
      <c r="A1123" t="s">
        <v>500</v>
      </c>
      <c r="B1123" t="s">
        <v>1344</v>
      </c>
      <c r="C1123" t="s">
        <v>61</v>
      </c>
      <c r="D1123" t="s">
        <v>1180</v>
      </c>
    </row>
    <row r="1124" spans="1:4" hidden="1" x14ac:dyDescent="0.3">
      <c r="A1124" t="s">
        <v>500</v>
      </c>
      <c r="B1124" t="s">
        <v>1344</v>
      </c>
      <c r="C1124" t="s">
        <v>61</v>
      </c>
      <c r="D1124" t="s">
        <v>1181</v>
      </c>
    </row>
    <row r="1125" spans="1:4" hidden="1" x14ac:dyDescent="0.3">
      <c r="A1125" t="s">
        <v>500</v>
      </c>
      <c r="B1125" t="s">
        <v>1345</v>
      </c>
      <c r="C1125" t="s">
        <v>1251</v>
      </c>
      <c r="D1125" t="s">
        <v>1170</v>
      </c>
    </row>
    <row r="1126" spans="1:4" hidden="1" x14ac:dyDescent="0.3">
      <c r="A1126" t="s">
        <v>500</v>
      </c>
      <c r="B1126" t="s">
        <v>1345</v>
      </c>
      <c r="C1126" t="s">
        <v>1251</v>
      </c>
      <c r="D1126" t="s">
        <v>1171</v>
      </c>
    </row>
    <row r="1127" spans="1:4" hidden="1" x14ac:dyDescent="0.3">
      <c r="A1127" t="s">
        <v>500</v>
      </c>
      <c r="B1127" t="s">
        <v>1345</v>
      </c>
      <c r="C1127" t="s">
        <v>1251</v>
      </c>
      <c r="D1127" t="s">
        <v>1172</v>
      </c>
    </row>
    <row r="1128" spans="1:4" hidden="1" x14ac:dyDescent="0.3">
      <c r="A1128" t="s">
        <v>500</v>
      </c>
      <c r="B1128" t="s">
        <v>1345</v>
      </c>
      <c r="C1128" t="s">
        <v>1251</v>
      </c>
      <c r="D1128" t="s">
        <v>1173</v>
      </c>
    </row>
    <row r="1129" spans="1:4" hidden="1" x14ac:dyDescent="0.3">
      <c r="A1129" t="s">
        <v>500</v>
      </c>
      <c r="B1129" t="s">
        <v>1345</v>
      </c>
      <c r="C1129" t="s">
        <v>1251</v>
      </c>
      <c r="D1129" t="s">
        <v>1174</v>
      </c>
    </row>
    <row r="1130" spans="1:4" hidden="1" x14ac:dyDescent="0.3">
      <c r="A1130" t="s">
        <v>500</v>
      </c>
      <c r="B1130" t="s">
        <v>1345</v>
      </c>
      <c r="C1130" t="s">
        <v>1251</v>
      </c>
      <c r="D1130" t="s">
        <v>1175</v>
      </c>
    </row>
    <row r="1131" spans="1:4" hidden="1" x14ac:dyDescent="0.3">
      <c r="A1131" t="s">
        <v>500</v>
      </c>
      <c r="B1131" t="s">
        <v>1345</v>
      </c>
      <c r="C1131" t="s">
        <v>1251</v>
      </c>
      <c r="D1131" t="s">
        <v>1176</v>
      </c>
    </row>
    <row r="1132" spans="1:4" hidden="1" x14ac:dyDescent="0.3">
      <c r="A1132" t="s">
        <v>500</v>
      </c>
      <c r="B1132" t="s">
        <v>1345</v>
      </c>
      <c r="C1132" t="s">
        <v>1251</v>
      </c>
      <c r="D1132" t="s">
        <v>1177</v>
      </c>
    </row>
    <row r="1133" spans="1:4" hidden="1" x14ac:dyDescent="0.3">
      <c r="A1133" t="s">
        <v>500</v>
      </c>
      <c r="B1133" t="s">
        <v>1345</v>
      </c>
      <c r="C1133" t="s">
        <v>1251</v>
      </c>
      <c r="D1133" t="s">
        <v>1178</v>
      </c>
    </row>
    <row r="1134" spans="1:4" hidden="1" x14ac:dyDescent="0.3">
      <c r="A1134" t="s">
        <v>500</v>
      </c>
      <c r="B1134" t="s">
        <v>1345</v>
      </c>
      <c r="C1134" t="s">
        <v>1251</v>
      </c>
      <c r="D1134" t="s">
        <v>1179</v>
      </c>
    </row>
    <row r="1135" spans="1:4" hidden="1" x14ac:dyDescent="0.3">
      <c r="A1135" t="s">
        <v>500</v>
      </c>
      <c r="B1135" t="s">
        <v>1345</v>
      </c>
      <c r="C1135" t="s">
        <v>1251</v>
      </c>
      <c r="D1135" t="s">
        <v>1180</v>
      </c>
    </row>
    <row r="1136" spans="1:4" hidden="1" x14ac:dyDescent="0.3">
      <c r="A1136" t="s">
        <v>500</v>
      </c>
      <c r="B1136" t="s">
        <v>1345</v>
      </c>
      <c r="C1136" t="s">
        <v>1251</v>
      </c>
      <c r="D1136" t="s">
        <v>1181</v>
      </c>
    </row>
    <row r="1137" spans="1:4" hidden="1" x14ac:dyDescent="0.3">
      <c r="A1137" t="s">
        <v>516</v>
      </c>
      <c r="B1137" t="s">
        <v>1346</v>
      </c>
      <c r="C1137" t="s">
        <v>1169</v>
      </c>
      <c r="D1137" t="s">
        <v>1170</v>
      </c>
    </row>
    <row r="1138" spans="1:4" hidden="1" x14ac:dyDescent="0.3">
      <c r="A1138" t="s">
        <v>516</v>
      </c>
      <c r="B1138" t="s">
        <v>1346</v>
      </c>
      <c r="C1138" t="s">
        <v>1169</v>
      </c>
      <c r="D1138" t="s">
        <v>1171</v>
      </c>
    </row>
    <row r="1139" spans="1:4" hidden="1" x14ac:dyDescent="0.3">
      <c r="A1139" t="s">
        <v>516</v>
      </c>
      <c r="B1139" t="s">
        <v>1346</v>
      </c>
      <c r="C1139" t="s">
        <v>1169</v>
      </c>
      <c r="D1139" t="s">
        <v>1172</v>
      </c>
    </row>
    <row r="1140" spans="1:4" hidden="1" x14ac:dyDescent="0.3">
      <c r="A1140" t="s">
        <v>516</v>
      </c>
      <c r="B1140" t="s">
        <v>1346</v>
      </c>
      <c r="C1140" t="s">
        <v>1169</v>
      </c>
      <c r="D1140" t="s">
        <v>1173</v>
      </c>
    </row>
    <row r="1141" spans="1:4" hidden="1" x14ac:dyDescent="0.3">
      <c r="A1141" t="s">
        <v>516</v>
      </c>
      <c r="B1141" t="s">
        <v>1346</v>
      </c>
      <c r="C1141" t="s">
        <v>1169</v>
      </c>
      <c r="D1141" t="s">
        <v>1174</v>
      </c>
    </row>
    <row r="1142" spans="1:4" hidden="1" x14ac:dyDescent="0.3">
      <c r="A1142" t="s">
        <v>516</v>
      </c>
      <c r="B1142" t="s">
        <v>1346</v>
      </c>
      <c r="C1142" t="s">
        <v>1169</v>
      </c>
      <c r="D1142" t="s">
        <v>1175</v>
      </c>
    </row>
    <row r="1143" spans="1:4" hidden="1" x14ac:dyDescent="0.3">
      <c r="A1143" t="s">
        <v>516</v>
      </c>
      <c r="B1143" t="s">
        <v>1346</v>
      </c>
      <c r="C1143" t="s">
        <v>1169</v>
      </c>
      <c r="D1143" t="s">
        <v>1176</v>
      </c>
    </row>
    <row r="1144" spans="1:4" hidden="1" x14ac:dyDescent="0.3">
      <c r="A1144" t="s">
        <v>516</v>
      </c>
      <c r="B1144" t="s">
        <v>1346</v>
      </c>
      <c r="C1144" t="s">
        <v>1169</v>
      </c>
      <c r="D1144" t="s">
        <v>1177</v>
      </c>
    </row>
    <row r="1145" spans="1:4" hidden="1" x14ac:dyDescent="0.3">
      <c r="A1145" t="s">
        <v>516</v>
      </c>
      <c r="B1145" t="s">
        <v>1346</v>
      </c>
      <c r="C1145" t="s">
        <v>1169</v>
      </c>
      <c r="D1145" t="s">
        <v>1178</v>
      </c>
    </row>
    <row r="1146" spans="1:4" hidden="1" x14ac:dyDescent="0.3">
      <c r="A1146" t="s">
        <v>516</v>
      </c>
      <c r="B1146" t="s">
        <v>1346</v>
      </c>
      <c r="C1146" t="s">
        <v>1169</v>
      </c>
      <c r="D1146" t="s">
        <v>1179</v>
      </c>
    </row>
    <row r="1147" spans="1:4" hidden="1" x14ac:dyDescent="0.3">
      <c r="A1147" t="s">
        <v>516</v>
      </c>
      <c r="B1147" t="s">
        <v>1346</v>
      </c>
      <c r="C1147" t="s">
        <v>1169</v>
      </c>
      <c r="D1147" t="s">
        <v>1180</v>
      </c>
    </row>
    <row r="1148" spans="1:4" hidden="1" x14ac:dyDescent="0.3">
      <c r="A1148" t="s">
        <v>516</v>
      </c>
      <c r="B1148" t="s">
        <v>1346</v>
      </c>
      <c r="C1148" t="s">
        <v>1169</v>
      </c>
      <c r="D1148" t="s">
        <v>1181</v>
      </c>
    </row>
    <row r="1149" spans="1:4" hidden="1" x14ac:dyDescent="0.3">
      <c r="A1149" t="s">
        <v>516</v>
      </c>
      <c r="B1149" t="s">
        <v>1347</v>
      </c>
      <c r="C1149" t="s">
        <v>61</v>
      </c>
      <c r="D1149" t="s">
        <v>1170</v>
      </c>
    </row>
    <row r="1150" spans="1:4" hidden="1" x14ac:dyDescent="0.3">
      <c r="A1150" t="s">
        <v>516</v>
      </c>
      <c r="B1150" t="s">
        <v>1347</v>
      </c>
      <c r="C1150" t="s">
        <v>61</v>
      </c>
      <c r="D1150" t="s">
        <v>1171</v>
      </c>
    </row>
    <row r="1151" spans="1:4" hidden="1" x14ac:dyDescent="0.3">
      <c r="A1151" t="s">
        <v>516</v>
      </c>
      <c r="B1151" t="s">
        <v>1347</v>
      </c>
      <c r="C1151" t="s">
        <v>61</v>
      </c>
      <c r="D1151" t="s">
        <v>1172</v>
      </c>
    </row>
    <row r="1152" spans="1:4" hidden="1" x14ac:dyDescent="0.3">
      <c r="A1152" t="s">
        <v>516</v>
      </c>
      <c r="B1152" t="s">
        <v>1347</v>
      </c>
      <c r="C1152" t="s">
        <v>61</v>
      </c>
      <c r="D1152" t="s">
        <v>1173</v>
      </c>
    </row>
    <row r="1153" spans="1:4" hidden="1" x14ac:dyDescent="0.3">
      <c r="A1153" t="s">
        <v>516</v>
      </c>
      <c r="B1153" t="s">
        <v>1347</v>
      </c>
      <c r="C1153" t="s">
        <v>61</v>
      </c>
      <c r="D1153" t="s">
        <v>1174</v>
      </c>
    </row>
    <row r="1154" spans="1:4" hidden="1" x14ac:dyDescent="0.3">
      <c r="A1154" t="s">
        <v>516</v>
      </c>
      <c r="B1154" t="s">
        <v>1347</v>
      </c>
      <c r="C1154" t="s">
        <v>61</v>
      </c>
      <c r="D1154" t="s">
        <v>1175</v>
      </c>
    </row>
    <row r="1155" spans="1:4" hidden="1" x14ac:dyDescent="0.3">
      <c r="A1155" t="s">
        <v>516</v>
      </c>
      <c r="B1155" t="s">
        <v>1347</v>
      </c>
      <c r="C1155" t="s">
        <v>61</v>
      </c>
      <c r="D1155" t="s">
        <v>1176</v>
      </c>
    </row>
    <row r="1156" spans="1:4" hidden="1" x14ac:dyDescent="0.3">
      <c r="A1156" t="s">
        <v>516</v>
      </c>
      <c r="B1156" t="s">
        <v>1347</v>
      </c>
      <c r="C1156" t="s">
        <v>61</v>
      </c>
      <c r="D1156" t="s">
        <v>1177</v>
      </c>
    </row>
    <row r="1157" spans="1:4" hidden="1" x14ac:dyDescent="0.3">
      <c r="A1157" t="s">
        <v>516</v>
      </c>
      <c r="B1157" t="s">
        <v>1347</v>
      </c>
      <c r="C1157" t="s">
        <v>61</v>
      </c>
      <c r="D1157" t="s">
        <v>1178</v>
      </c>
    </row>
    <row r="1158" spans="1:4" hidden="1" x14ac:dyDescent="0.3">
      <c r="A1158" t="s">
        <v>516</v>
      </c>
      <c r="B1158" t="s">
        <v>1347</v>
      </c>
      <c r="C1158" t="s">
        <v>61</v>
      </c>
      <c r="D1158" t="s">
        <v>1179</v>
      </c>
    </row>
    <row r="1159" spans="1:4" hidden="1" x14ac:dyDescent="0.3">
      <c r="A1159" t="s">
        <v>516</v>
      </c>
      <c r="B1159" t="s">
        <v>1348</v>
      </c>
      <c r="C1159" t="s">
        <v>61</v>
      </c>
      <c r="D1159" t="s">
        <v>1170</v>
      </c>
    </row>
    <row r="1160" spans="1:4" hidden="1" x14ac:dyDescent="0.3">
      <c r="A1160" t="s">
        <v>516</v>
      </c>
      <c r="B1160" t="s">
        <v>1348</v>
      </c>
      <c r="C1160" t="s">
        <v>61</v>
      </c>
      <c r="D1160" t="s">
        <v>1171</v>
      </c>
    </row>
    <row r="1161" spans="1:4" hidden="1" x14ac:dyDescent="0.3">
      <c r="A1161" t="s">
        <v>516</v>
      </c>
      <c r="B1161" t="s">
        <v>1348</v>
      </c>
      <c r="C1161" t="s">
        <v>61</v>
      </c>
      <c r="D1161" t="s">
        <v>1172</v>
      </c>
    </row>
    <row r="1162" spans="1:4" hidden="1" x14ac:dyDescent="0.3">
      <c r="A1162" t="s">
        <v>516</v>
      </c>
      <c r="B1162" t="s">
        <v>1348</v>
      </c>
      <c r="C1162" t="s">
        <v>61</v>
      </c>
      <c r="D1162" t="s">
        <v>1173</v>
      </c>
    </row>
    <row r="1163" spans="1:4" hidden="1" x14ac:dyDescent="0.3">
      <c r="A1163" t="s">
        <v>516</v>
      </c>
      <c r="B1163" t="s">
        <v>1348</v>
      </c>
      <c r="C1163" t="s">
        <v>61</v>
      </c>
      <c r="D1163" t="s">
        <v>1174</v>
      </c>
    </row>
    <row r="1164" spans="1:4" hidden="1" x14ac:dyDescent="0.3">
      <c r="A1164" t="s">
        <v>516</v>
      </c>
      <c r="B1164" t="s">
        <v>1348</v>
      </c>
      <c r="C1164" t="s">
        <v>61</v>
      </c>
      <c r="D1164" t="s">
        <v>1175</v>
      </c>
    </row>
    <row r="1165" spans="1:4" hidden="1" x14ac:dyDescent="0.3">
      <c r="A1165" t="s">
        <v>516</v>
      </c>
      <c r="B1165" t="s">
        <v>1348</v>
      </c>
      <c r="C1165" t="s">
        <v>61</v>
      </c>
      <c r="D1165" t="s">
        <v>1176</v>
      </c>
    </row>
    <row r="1166" spans="1:4" hidden="1" x14ac:dyDescent="0.3">
      <c r="A1166" t="s">
        <v>516</v>
      </c>
      <c r="B1166" t="s">
        <v>1348</v>
      </c>
      <c r="C1166" t="s">
        <v>61</v>
      </c>
      <c r="D1166" t="s">
        <v>1177</v>
      </c>
    </row>
    <row r="1167" spans="1:4" hidden="1" x14ac:dyDescent="0.3">
      <c r="A1167" t="s">
        <v>516</v>
      </c>
      <c r="B1167" t="s">
        <v>1348</v>
      </c>
      <c r="C1167" t="s">
        <v>61</v>
      </c>
      <c r="D1167" t="s">
        <v>1178</v>
      </c>
    </row>
    <row r="1168" spans="1:4" hidden="1" x14ac:dyDescent="0.3">
      <c r="A1168" t="s">
        <v>516</v>
      </c>
      <c r="B1168" t="s">
        <v>1348</v>
      </c>
      <c r="C1168" t="s">
        <v>61</v>
      </c>
      <c r="D1168" t="s">
        <v>1179</v>
      </c>
    </row>
    <row r="1169" spans="1:4" hidden="1" x14ac:dyDescent="0.3">
      <c r="A1169" t="s">
        <v>516</v>
      </c>
      <c r="B1169" t="s">
        <v>1349</v>
      </c>
      <c r="C1169" t="s">
        <v>61</v>
      </c>
      <c r="D1169" t="s">
        <v>1170</v>
      </c>
    </row>
    <row r="1170" spans="1:4" hidden="1" x14ac:dyDescent="0.3">
      <c r="A1170" t="s">
        <v>516</v>
      </c>
      <c r="B1170" t="s">
        <v>1349</v>
      </c>
      <c r="C1170" t="s">
        <v>61</v>
      </c>
      <c r="D1170" t="s">
        <v>1171</v>
      </c>
    </row>
    <row r="1171" spans="1:4" hidden="1" x14ac:dyDescent="0.3">
      <c r="A1171" t="s">
        <v>516</v>
      </c>
      <c r="B1171" t="s">
        <v>1349</v>
      </c>
      <c r="C1171" t="s">
        <v>61</v>
      </c>
      <c r="D1171" t="s">
        <v>1172</v>
      </c>
    </row>
    <row r="1172" spans="1:4" hidden="1" x14ac:dyDescent="0.3">
      <c r="A1172" t="s">
        <v>516</v>
      </c>
      <c r="B1172" t="s">
        <v>1349</v>
      </c>
      <c r="C1172" t="s">
        <v>61</v>
      </c>
      <c r="D1172" t="s">
        <v>1173</v>
      </c>
    </row>
    <row r="1173" spans="1:4" hidden="1" x14ac:dyDescent="0.3">
      <c r="A1173" t="s">
        <v>516</v>
      </c>
      <c r="B1173" t="s">
        <v>1349</v>
      </c>
      <c r="C1173" t="s">
        <v>61</v>
      </c>
      <c r="D1173" t="s">
        <v>1174</v>
      </c>
    </row>
    <row r="1174" spans="1:4" hidden="1" x14ac:dyDescent="0.3">
      <c r="A1174" t="s">
        <v>516</v>
      </c>
      <c r="B1174" t="s">
        <v>1349</v>
      </c>
      <c r="C1174" t="s">
        <v>61</v>
      </c>
      <c r="D1174" t="s">
        <v>1175</v>
      </c>
    </row>
    <row r="1175" spans="1:4" hidden="1" x14ac:dyDescent="0.3">
      <c r="A1175" t="s">
        <v>516</v>
      </c>
      <c r="B1175" t="s">
        <v>1349</v>
      </c>
      <c r="C1175" t="s">
        <v>61</v>
      </c>
      <c r="D1175" t="s">
        <v>1176</v>
      </c>
    </row>
    <row r="1176" spans="1:4" hidden="1" x14ac:dyDescent="0.3">
      <c r="A1176" t="s">
        <v>516</v>
      </c>
      <c r="B1176" t="s">
        <v>1349</v>
      </c>
      <c r="C1176" t="s">
        <v>61</v>
      </c>
      <c r="D1176" t="s">
        <v>1177</v>
      </c>
    </row>
    <row r="1177" spans="1:4" hidden="1" x14ac:dyDescent="0.3">
      <c r="A1177" t="s">
        <v>516</v>
      </c>
      <c r="B1177" t="s">
        <v>1349</v>
      </c>
      <c r="C1177" t="s">
        <v>61</v>
      </c>
      <c r="D1177" t="s">
        <v>1178</v>
      </c>
    </row>
    <row r="1178" spans="1:4" hidden="1" x14ac:dyDescent="0.3">
      <c r="A1178" t="s">
        <v>516</v>
      </c>
      <c r="B1178" t="s">
        <v>1349</v>
      </c>
      <c r="C1178" t="s">
        <v>61</v>
      </c>
      <c r="D1178" t="s">
        <v>1179</v>
      </c>
    </row>
    <row r="1179" spans="1:4" hidden="1" x14ac:dyDescent="0.3">
      <c r="A1179" t="s">
        <v>968</v>
      </c>
      <c r="B1179" t="s">
        <v>1350</v>
      </c>
      <c r="C1179" t="s">
        <v>1169</v>
      </c>
      <c r="D1179" t="s">
        <v>1170</v>
      </c>
    </row>
    <row r="1180" spans="1:4" hidden="1" x14ac:dyDescent="0.3">
      <c r="A1180" t="s">
        <v>968</v>
      </c>
      <c r="B1180" t="s">
        <v>1350</v>
      </c>
      <c r="C1180" t="s">
        <v>1169</v>
      </c>
      <c r="D1180" t="s">
        <v>1171</v>
      </c>
    </row>
    <row r="1181" spans="1:4" hidden="1" x14ac:dyDescent="0.3">
      <c r="A1181" t="s">
        <v>968</v>
      </c>
      <c r="B1181" t="s">
        <v>1350</v>
      </c>
      <c r="C1181" t="s">
        <v>1169</v>
      </c>
      <c r="D1181" t="s">
        <v>1172</v>
      </c>
    </row>
    <row r="1182" spans="1:4" hidden="1" x14ac:dyDescent="0.3">
      <c r="A1182" t="s">
        <v>968</v>
      </c>
      <c r="B1182" t="s">
        <v>1350</v>
      </c>
      <c r="C1182" t="s">
        <v>1169</v>
      </c>
      <c r="D1182" t="s">
        <v>1173</v>
      </c>
    </row>
    <row r="1183" spans="1:4" hidden="1" x14ac:dyDescent="0.3">
      <c r="A1183" t="s">
        <v>968</v>
      </c>
      <c r="B1183" t="s">
        <v>1350</v>
      </c>
      <c r="C1183" t="s">
        <v>1169</v>
      </c>
      <c r="D1183" t="s">
        <v>1174</v>
      </c>
    </row>
    <row r="1184" spans="1:4" hidden="1" x14ac:dyDescent="0.3">
      <c r="A1184" t="s">
        <v>968</v>
      </c>
      <c r="B1184" t="s">
        <v>1350</v>
      </c>
      <c r="C1184" t="s">
        <v>1169</v>
      </c>
      <c r="D1184" t="s">
        <v>1175</v>
      </c>
    </row>
    <row r="1185" spans="1:7" hidden="1" x14ac:dyDescent="0.3">
      <c r="A1185" t="s">
        <v>968</v>
      </c>
      <c r="B1185" t="s">
        <v>1350</v>
      </c>
      <c r="C1185" t="s">
        <v>1169</v>
      </c>
      <c r="D1185" t="s">
        <v>1176</v>
      </c>
    </row>
    <row r="1186" spans="1:7" hidden="1" x14ac:dyDescent="0.3">
      <c r="A1186" t="s">
        <v>968</v>
      </c>
      <c r="B1186" t="s">
        <v>1350</v>
      </c>
      <c r="C1186" t="s">
        <v>1169</v>
      </c>
      <c r="D1186" t="s">
        <v>1177</v>
      </c>
    </row>
    <row r="1187" spans="1:7" hidden="1" x14ac:dyDescent="0.3">
      <c r="A1187" t="s">
        <v>968</v>
      </c>
      <c r="B1187" t="s">
        <v>1350</v>
      </c>
      <c r="C1187" t="s">
        <v>1169</v>
      </c>
      <c r="D1187" t="s">
        <v>1178</v>
      </c>
    </row>
    <row r="1188" spans="1:7" hidden="1" x14ac:dyDescent="0.3">
      <c r="A1188" t="s">
        <v>968</v>
      </c>
      <c r="B1188" t="s">
        <v>1350</v>
      </c>
      <c r="C1188" t="s">
        <v>1169</v>
      </c>
      <c r="D1188" t="s">
        <v>1179</v>
      </c>
    </row>
    <row r="1189" spans="1:7" hidden="1" x14ac:dyDescent="0.3">
      <c r="A1189" t="s">
        <v>968</v>
      </c>
      <c r="B1189" t="s">
        <v>1350</v>
      </c>
      <c r="C1189" t="s">
        <v>1169</v>
      </c>
      <c r="D1189" t="s">
        <v>1180</v>
      </c>
    </row>
    <row r="1190" spans="1:7" hidden="1" x14ac:dyDescent="0.3">
      <c r="A1190" t="s">
        <v>968</v>
      </c>
      <c r="B1190" t="s">
        <v>1350</v>
      </c>
      <c r="C1190" t="s">
        <v>1169</v>
      </c>
      <c r="D1190" t="s">
        <v>1181</v>
      </c>
    </row>
    <row r="1191" spans="1:7" x14ac:dyDescent="0.3">
      <c r="A1191" t="s">
        <v>968</v>
      </c>
      <c r="B1191" t="s">
        <v>1351</v>
      </c>
      <c r="C1191" t="s">
        <v>54</v>
      </c>
      <c r="D1191" t="s">
        <v>1170</v>
      </c>
      <c r="E1191" s="377">
        <v>182.001</v>
      </c>
      <c r="F1191" s="377">
        <v>182.001</v>
      </c>
      <c r="G1191" s="377">
        <v>0</v>
      </c>
    </row>
    <row r="1192" spans="1:7" x14ac:dyDescent="0.3">
      <c r="A1192" t="s">
        <v>968</v>
      </c>
      <c r="B1192" t="s">
        <v>1351</v>
      </c>
      <c r="C1192" t="s">
        <v>54</v>
      </c>
      <c r="D1192" t="s">
        <v>1171</v>
      </c>
      <c r="E1192" s="377">
        <v>279.29899999999998</v>
      </c>
      <c r="F1192" s="377">
        <v>279.29899999999998</v>
      </c>
      <c r="G1192" s="377">
        <v>0</v>
      </c>
    </row>
    <row r="1193" spans="1:7" x14ac:dyDescent="0.3">
      <c r="A1193" t="s">
        <v>968</v>
      </c>
      <c r="B1193" t="s">
        <v>1351</v>
      </c>
      <c r="C1193" t="s">
        <v>54</v>
      </c>
      <c r="D1193" t="s">
        <v>1172</v>
      </c>
      <c r="E1193" s="377">
        <v>478.202</v>
      </c>
      <c r="F1193" s="377">
        <v>478.202</v>
      </c>
      <c r="G1193" s="377">
        <v>0</v>
      </c>
    </row>
    <row r="1194" spans="1:7" x14ac:dyDescent="0.3">
      <c r="A1194" t="s">
        <v>968</v>
      </c>
      <c r="B1194" t="s">
        <v>1351</v>
      </c>
      <c r="C1194" t="s">
        <v>54</v>
      </c>
      <c r="D1194" t="s">
        <v>1173</v>
      </c>
      <c r="E1194" s="377">
        <v>334.79899999999998</v>
      </c>
      <c r="F1194" s="377">
        <v>334.79899999999998</v>
      </c>
      <c r="G1194" s="377">
        <v>0</v>
      </c>
    </row>
    <row r="1195" spans="1:7" x14ac:dyDescent="0.3">
      <c r="A1195" t="s">
        <v>968</v>
      </c>
      <c r="B1195" t="s">
        <v>1351</v>
      </c>
      <c r="C1195" t="s">
        <v>54</v>
      </c>
      <c r="D1195" t="s">
        <v>1174</v>
      </c>
      <c r="E1195" s="377">
        <v>389.5</v>
      </c>
      <c r="F1195" s="377">
        <v>389.5</v>
      </c>
      <c r="G1195" s="377">
        <v>0</v>
      </c>
    </row>
    <row r="1196" spans="1:7" x14ac:dyDescent="0.3">
      <c r="A1196" t="s">
        <v>968</v>
      </c>
      <c r="B1196" t="s">
        <v>1351</v>
      </c>
      <c r="C1196" t="s">
        <v>54</v>
      </c>
      <c r="D1196" t="s">
        <v>1175</v>
      </c>
      <c r="E1196" s="377">
        <v>432.30099999999999</v>
      </c>
      <c r="F1196" s="377">
        <v>432.30099999999999</v>
      </c>
      <c r="G1196" s="377">
        <v>0</v>
      </c>
    </row>
    <row r="1197" spans="1:7" x14ac:dyDescent="0.3">
      <c r="A1197" t="s">
        <v>968</v>
      </c>
      <c r="B1197" t="s">
        <v>1351</v>
      </c>
      <c r="C1197" t="s">
        <v>54</v>
      </c>
      <c r="D1197" t="s">
        <v>1176</v>
      </c>
      <c r="E1197" s="377">
        <v>266.69900000000001</v>
      </c>
      <c r="F1197" s="377">
        <v>266.69900000000001</v>
      </c>
      <c r="G1197" s="377">
        <v>0</v>
      </c>
    </row>
    <row r="1198" spans="1:7" x14ac:dyDescent="0.3">
      <c r="A1198" t="s">
        <v>968</v>
      </c>
      <c r="B1198" t="s">
        <v>1351</v>
      </c>
      <c r="C1198" t="s">
        <v>54</v>
      </c>
      <c r="D1198" t="s">
        <v>1177</v>
      </c>
      <c r="E1198" s="377">
        <v>216.101</v>
      </c>
      <c r="F1198" s="377">
        <v>216.101</v>
      </c>
      <c r="G1198" s="377">
        <v>0</v>
      </c>
    </row>
    <row r="1199" spans="1:7" x14ac:dyDescent="0.3">
      <c r="A1199" t="s">
        <v>968</v>
      </c>
      <c r="B1199" t="s">
        <v>1351</v>
      </c>
      <c r="C1199" t="s">
        <v>54</v>
      </c>
      <c r="D1199" t="s">
        <v>1178</v>
      </c>
      <c r="E1199" s="377">
        <v>297.40100000000001</v>
      </c>
      <c r="F1199" s="377">
        <v>297.40100000000001</v>
      </c>
      <c r="G1199" s="377">
        <v>0</v>
      </c>
    </row>
    <row r="1200" spans="1:7" x14ac:dyDescent="0.3">
      <c r="A1200" t="s">
        <v>968</v>
      </c>
      <c r="B1200" t="s">
        <v>1351</v>
      </c>
      <c r="C1200" t="s">
        <v>54</v>
      </c>
      <c r="D1200" t="s">
        <v>1179</v>
      </c>
      <c r="E1200" s="377">
        <v>266.60000000000002</v>
      </c>
      <c r="F1200" s="377">
        <v>266.60000000000002</v>
      </c>
      <c r="G1200" s="377">
        <v>0</v>
      </c>
    </row>
    <row r="1201" spans="1:7" x14ac:dyDescent="0.3">
      <c r="A1201" t="s">
        <v>968</v>
      </c>
      <c r="B1201" t="s">
        <v>1351</v>
      </c>
      <c r="C1201" t="s">
        <v>54</v>
      </c>
      <c r="D1201" t="s">
        <v>1180</v>
      </c>
      <c r="E1201" s="377">
        <v>365.8</v>
      </c>
      <c r="F1201" s="377">
        <v>365.8</v>
      </c>
      <c r="G1201" s="377">
        <v>0</v>
      </c>
    </row>
    <row r="1202" spans="1:7" x14ac:dyDescent="0.3">
      <c r="A1202" t="s">
        <v>968</v>
      </c>
      <c r="B1202" t="s">
        <v>1351</v>
      </c>
      <c r="C1202" t="s">
        <v>54</v>
      </c>
      <c r="D1202" t="s">
        <v>1181</v>
      </c>
      <c r="E1202" s="377">
        <v>245</v>
      </c>
      <c r="F1202" s="377">
        <v>245</v>
      </c>
      <c r="G1202" s="377">
        <v>0</v>
      </c>
    </row>
    <row r="1203" spans="1:7" hidden="1" x14ac:dyDescent="0.3">
      <c r="A1203" t="s">
        <v>968</v>
      </c>
      <c r="B1203" t="s">
        <v>1352</v>
      </c>
      <c r="C1203" t="s">
        <v>1169</v>
      </c>
      <c r="D1203" t="s">
        <v>1170</v>
      </c>
    </row>
    <row r="1204" spans="1:7" hidden="1" x14ac:dyDescent="0.3">
      <c r="A1204" t="s">
        <v>968</v>
      </c>
      <c r="B1204" t="s">
        <v>1352</v>
      </c>
      <c r="C1204" t="s">
        <v>1169</v>
      </c>
      <c r="D1204" t="s">
        <v>1171</v>
      </c>
    </row>
    <row r="1205" spans="1:7" hidden="1" x14ac:dyDescent="0.3">
      <c r="A1205" t="s">
        <v>968</v>
      </c>
      <c r="B1205" t="s">
        <v>1352</v>
      </c>
      <c r="C1205" t="s">
        <v>1169</v>
      </c>
      <c r="D1205" t="s">
        <v>1172</v>
      </c>
    </row>
    <row r="1206" spans="1:7" hidden="1" x14ac:dyDescent="0.3">
      <c r="A1206" t="s">
        <v>968</v>
      </c>
      <c r="B1206" t="s">
        <v>1352</v>
      </c>
      <c r="C1206" t="s">
        <v>1169</v>
      </c>
      <c r="D1206" t="s">
        <v>1173</v>
      </c>
    </row>
    <row r="1207" spans="1:7" hidden="1" x14ac:dyDescent="0.3">
      <c r="A1207" t="s">
        <v>968</v>
      </c>
      <c r="B1207" t="s">
        <v>1352</v>
      </c>
      <c r="C1207" t="s">
        <v>1169</v>
      </c>
      <c r="D1207" t="s">
        <v>1174</v>
      </c>
    </row>
    <row r="1208" spans="1:7" hidden="1" x14ac:dyDescent="0.3">
      <c r="A1208" t="s">
        <v>968</v>
      </c>
      <c r="B1208" t="s">
        <v>1352</v>
      </c>
      <c r="C1208" t="s">
        <v>1169</v>
      </c>
      <c r="D1208" t="s">
        <v>1175</v>
      </c>
    </row>
    <row r="1209" spans="1:7" hidden="1" x14ac:dyDescent="0.3">
      <c r="A1209" t="s">
        <v>968</v>
      </c>
      <c r="B1209" t="s">
        <v>1352</v>
      </c>
      <c r="C1209" t="s">
        <v>1169</v>
      </c>
      <c r="D1209" t="s">
        <v>1176</v>
      </c>
    </row>
    <row r="1210" spans="1:7" hidden="1" x14ac:dyDescent="0.3">
      <c r="A1210" t="s">
        <v>968</v>
      </c>
      <c r="B1210" t="s">
        <v>1352</v>
      </c>
      <c r="C1210" t="s">
        <v>1169</v>
      </c>
      <c r="D1210" t="s">
        <v>1177</v>
      </c>
    </row>
    <row r="1211" spans="1:7" hidden="1" x14ac:dyDescent="0.3">
      <c r="A1211" t="s">
        <v>968</v>
      </c>
      <c r="B1211" t="s">
        <v>1352</v>
      </c>
      <c r="C1211" t="s">
        <v>1169</v>
      </c>
      <c r="D1211" t="s">
        <v>1178</v>
      </c>
    </row>
    <row r="1212" spans="1:7" hidden="1" x14ac:dyDescent="0.3">
      <c r="A1212" t="s">
        <v>968</v>
      </c>
      <c r="B1212" t="s">
        <v>1352</v>
      </c>
      <c r="C1212" t="s">
        <v>1169</v>
      </c>
      <c r="D1212" t="s">
        <v>1179</v>
      </c>
    </row>
    <row r="1213" spans="1:7" hidden="1" x14ac:dyDescent="0.3">
      <c r="A1213" t="s">
        <v>968</v>
      </c>
      <c r="B1213" t="s">
        <v>1352</v>
      </c>
      <c r="C1213" t="s">
        <v>1169</v>
      </c>
      <c r="D1213" t="s">
        <v>1180</v>
      </c>
    </row>
    <row r="1214" spans="1:7" hidden="1" x14ac:dyDescent="0.3">
      <c r="A1214" t="s">
        <v>968</v>
      </c>
      <c r="B1214" t="s">
        <v>1352</v>
      </c>
      <c r="C1214" t="s">
        <v>1169</v>
      </c>
      <c r="D1214" t="s">
        <v>1181</v>
      </c>
    </row>
    <row r="1215" spans="1:7" hidden="1" x14ac:dyDescent="0.3">
      <c r="A1215" t="s">
        <v>968</v>
      </c>
      <c r="B1215" t="s">
        <v>1353</v>
      </c>
      <c r="C1215" t="s">
        <v>61</v>
      </c>
      <c r="D1215" t="s">
        <v>1170</v>
      </c>
    </row>
    <row r="1216" spans="1:7" hidden="1" x14ac:dyDescent="0.3">
      <c r="A1216" t="s">
        <v>968</v>
      </c>
      <c r="B1216" t="s">
        <v>1353</v>
      </c>
      <c r="C1216" t="s">
        <v>61</v>
      </c>
      <c r="D1216" t="s">
        <v>1171</v>
      </c>
    </row>
    <row r="1217" spans="1:4" hidden="1" x14ac:dyDescent="0.3">
      <c r="A1217" t="s">
        <v>968</v>
      </c>
      <c r="B1217" t="s">
        <v>1353</v>
      </c>
      <c r="C1217" t="s">
        <v>61</v>
      </c>
      <c r="D1217" t="s">
        <v>1172</v>
      </c>
    </row>
    <row r="1218" spans="1:4" hidden="1" x14ac:dyDescent="0.3">
      <c r="A1218" t="s">
        <v>968</v>
      </c>
      <c r="B1218" t="s">
        <v>1353</v>
      </c>
      <c r="C1218" t="s">
        <v>61</v>
      </c>
      <c r="D1218" t="s">
        <v>1173</v>
      </c>
    </row>
    <row r="1219" spans="1:4" hidden="1" x14ac:dyDescent="0.3">
      <c r="A1219" t="s">
        <v>968</v>
      </c>
      <c r="B1219" t="s">
        <v>1353</v>
      </c>
      <c r="C1219" t="s">
        <v>61</v>
      </c>
      <c r="D1219" t="s">
        <v>1174</v>
      </c>
    </row>
    <row r="1220" spans="1:4" hidden="1" x14ac:dyDescent="0.3">
      <c r="A1220" t="s">
        <v>968</v>
      </c>
      <c r="B1220" t="s">
        <v>1353</v>
      </c>
      <c r="C1220" t="s">
        <v>61</v>
      </c>
      <c r="D1220" t="s">
        <v>1175</v>
      </c>
    </row>
    <row r="1221" spans="1:4" hidden="1" x14ac:dyDescent="0.3">
      <c r="A1221" t="s">
        <v>968</v>
      </c>
      <c r="B1221" t="s">
        <v>1353</v>
      </c>
      <c r="C1221" t="s">
        <v>61</v>
      </c>
      <c r="D1221" t="s">
        <v>1176</v>
      </c>
    </row>
    <row r="1222" spans="1:4" hidden="1" x14ac:dyDescent="0.3">
      <c r="A1222" t="s">
        <v>968</v>
      </c>
      <c r="B1222" t="s">
        <v>1353</v>
      </c>
      <c r="C1222" t="s">
        <v>61</v>
      </c>
      <c r="D1222" t="s">
        <v>1177</v>
      </c>
    </row>
    <row r="1223" spans="1:4" hidden="1" x14ac:dyDescent="0.3">
      <c r="A1223" t="s">
        <v>968</v>
      </c>
      <c r="B1223" t="s">
        <v>1353</v>
      </c>
      <c r="C1223" t="s">
        <v>61</v>
      </c>
      <c r="D1223" t="s">
        <v>1178</v>
      </c>
    </row>
    <row r="1224" spans="1:4" hidden="1" x14ac:dyDescent="0.3">
      <c r="A1224" t="s">
        <v>968</v>
      </c>
      <c r="B1224" t="s">
        <v>1353</v>
      </c>
      <c r="C1224" t="s">
        <v>61</v>
      </c>
      <c r="D1224" t="s">
        <v>1179</v>
      </c>
    </row>
    <row r="1225" spans="1:4" hidden="1" x14ac:dyDescent="0.3">
      <c r="A1225" t="s">
        <v>968</v>
      </c>
      <c r="B1225" t="s">
        <v>1353</v>
      </c>
      <c r="C1225" t="s">
        <v>61</v>
      </c>
      <c r="D1225" t="s">
        <v>1180</v>
      </c>
    </row>
    <row r="1226" spans="1:4" hidden="1" x14ac:dyDescent="0.3">
      <c r="A1226" t="s">
        <v>968</v>
      </c>
      <c r="B1226" t="s">
        <v>1353</v>
      </c>
      <c r="C1226" t="s">
        <v>61</v>
      </c>
      <c r="D1226" t="s">
        <v>1181</v>
      </c>
    </row>
    <row r="1227" spans="1:4" hidden="1" x14ac:dyDescent="0.3">
      <c r="A1227" t="s">
        <v>968</v>
      </c>
      <c r="B1227" t="s">
        <v>1354</v>
      </c>
      <c r="C1227" t="s">
        <v>61</v>
      </c>
      <c r="D1227" t="s">
        <v>1170</v>
      </c>
    </row>
    <row r="1228" spans="1:4" hidden="1" x14ac:dyDescent="0.3">
      <c r="A1228" t="s">
        <v>968</v>
      </c>
      <c r="B1228" t="s">
        <v>1354</v>
      </c>
      <c r="C1228" t="s">
        <v>61</v>
      </c>
      <c r="D1228" t="s">
        <v>1171</v>
      </c>
    </row>
    <row r="1229" spans="1:4" hidden="1" x14ac:dyDescent="0.3">
      <c r="A1229" t="s">
        <v>968</v>
      </c>
      <c r="B1229" t="s">
        <v>1354</v>
      </c>
      <c r="C1229" t="s">
        <v>61</v>
      </c>
      <c r="D1229" t="s">
        <v>1172</v>
      </c>
    </row>
    <row r="1230" spans="1:4" hidden="1" x14ac:dyDescent="0.3">
      <c r="A1230" t="s">
        <v>968</v>
      </c>
      <c r="B1230" t="s">
        <v>1354</v>
      </c>
      <c r="C1230" t="s">
        <v>61</v>
      </c>
      <c r="D1230" t="s">
        <v>1173</v>
      </c>
    </row>
    <row r="1231" spans="1:4" hidden="1" x14ac:dyDescent="0.3">
      <c r="A1231" t="s">
        <v>968</v>
      </c>
      <c r="B1231" t="s">
        <v>1354</v>
      </c>
      <c r="C1231" t="s">
        <v>61</v>
      </c>
      <c r="D1231" t="s">
        <v>1174</v>
      </c>
    </row>
    <row r="1232" spans="1:4" hidden="1" x14ac:dyDescent="0.3">
      <c r="A1232" t="s">
        <v>968</v>
      </c>
      <c r="B1232" t="s">
        <v>1354</v>
      </c>
      <c r="C1232" t="s">
        <v>61</v>
      </c>
      <c r="D1232" t="s">
        <v>1175</v>
      </c>
    </row>
    <row r="1233" spans="1:4" hidden="1" x14ac:dyDescent="0.3">
      <c r="A1233" t="s">
        <v>968</v>
      </c>
      <c r="B1233" t="s">
        <v>1354</v>
      </c>
      <c r="C1233" t="s">
        <v>61</v>
      </c>
      <c r="D1233" t="s">
        <v>1176</v>
      </c>
    </row>
    <row r="1234" spans="1:4" hidden="1" x14ac:dyDescent="0.3">
      <c r="A1234" t="s">
        <v>968</v>
      </c>
      <c r="B1234" t="s">
        <v>1354</v>
      </c>
      <c r="C1234" t="s">
        <v>61</v>
      </c>
      <c r="D1234" t="s">
        <v>1177</v>
      </c>
    </row>
    <row r="1235" spans="1:4" hidden="1" x14ac:dyDescent="0.3">
      <c r="A1235" t="s">
        <v>968</v>
      </c>
      <c r="B1235" t="s">
        <v>1354</v>
      </c>
      <c r="C1235" t="s">
        <v>61</v>
      </c>
      <c r="D1235" t="s">
        <v>1178</v>
      </c>
    </row>
    <row r="1236" spans="1:4" hidden="1" x14ac:dyDescent="0.3">
      <c r="A1236" t="s">
        <v>968</v>
      </c>
      <c r="B1236" t="s">
        <v>1354</v>
      </c>
      <c r="C1236" t="s">
        <v>61</v>
      </c>
      <c r="D1236" t="s">
        <v>1179</v>
      </c>
    </row>
    <row r="1237" spans="1:4" hidden="1" x14ac:dyDescent="0.3">
      <c r="A1237" t="s">
        <v>968</v>
      </c>
      <c r="B1237" t="s">
        <v>1354</v>
      </c>
      <c r="C1237" t="s">
        <v>61</v>
      </c>
      <c r="D1237" t="s">
        <v>1180</v>
      </c>
    </row>
    <row r="1238" spans="1:4" hidden="1" x14ac:dyDescent="0.3">
      <c r="A1238" t="s">
        <v>968</v>
      </c>
      <c r="B1238" t="s">
        <v>1354</v>
      </c>
      <c r="C1238" t="s">
        <v>61</v>
      </c>
      <c r="D1238" t="s">
        <v>1181</v>
      </c>
    </row>
    <row r="1239" spans="1:4" hidden="1" x14ac:dyDescent="0.3">
      <c r="A1239" t="s">
        <v>981</v>
      </c>
      <c r="B1239" t="s">
        <v>1355</v>
      </c>
      <c r="C1239" t="s">
        <v>1251</v>
      </c>
      <c r="D1239" t="s">
        <v>1170</v>
      </c>
    </row>
    <row r="1240" spans="1:4" hidden="1" x14ac:dyDescent="0.3">
      <c r="A1240" t="s">
        <v>981</v>
      </c>
      <c r="B1240" t="s">
        <v>1355</v>
      </c>
      <c r="C1240" t="s">
        <v>1251</v>
      </c>
      <c r="D1240" t="s">
        <v>1171</v>
      </c>
    </row>
    <row r="1241" spans="1:4" hidden="1" x14ac:dyDescent="0.3">
      <c r="A1241" t="s">
        <v>981</v>
      </c>
      <c r="B1241" t="s">
        <v>1355</v>
      </c>
      <c r="C1241" t="s">
        <v>1251</v>
      </c>
      <c r="D1241" t="s">
        <v>1172</v>
      </c>
    </row>
    <row r="1242" spans="1:4" hidden="1" x14ac:dyDescent="0.3">
      <c r="A1242" t="s">
        <v>981</v>
      </c>
      <c r="B1242" t="s">
        <v>1355</v>
      </c>
      <c r="C1242" t="s">
        <v>1251</v>
      </c>
      <c r="D1242" t="s">
        <v>1173</v>
      </c>
    </row>
    <row r="1243" spans="1:4" hidden="1" x14ac:dyDescent="0.3">
      <c r="A1243" t="s">
        <v>981</v>
      </c>
      <c r="B1243" t="s">
        <v>1355</v>
      </c>
      <c r="C1243" t="s">
        <v>1251</v>
      </c>
      <c r="D1243" t="s">
        <v>1174</v>
      </c>
    </row>
    <row r="1244" spans="1:4" hidden="1" x14ac:dyDescent="0.3">
      <c r="A1244" t="s">
        <v>981</v>
      </c>
      <c r="B1244" t="s">
        <v>1355</v>
      </c>
      <c r="C1244" t="s">
        <v>1251</v>
      </c>
      <c r="D1244" t="s">
        <v>1175</v>
      </c>
    </row>
    <row r="1245" spans="1:4" hidden="1" x14ac:dyDescent="0.3">
      <c r="A1245" t="s">
        <v>981</v>
      </c>
      <c r="B1245" t="s">
        <v>1355</v>
      </c>
      <c r="C1245" t="s">
        <v>1251</v>
      </c>
      <c r="D1245" t="s">
        <v>1176</v>
      </c>
    </row>
    <row r="1246" spans="1:4" hidden="1" x14ac:dyDescent="0.3">
      <c r="A1246" t="s">
        <v>981</v>
      </c>
      <c r="B1246" t="s">
        <v>1355</v>
      </c>
      <c r="C1246" t="s">
        <v>1251</v>
      </c>
      <c r="D1246" t="s">
        <v>1177</v>
      </c>
    </row>
    <row r="1247" spans="1:4" hidden="1" x14ac:dyDescent="0.3">
      <c r="A1247" t="s">
        <v>981</v>
      </c>
      <c r="B1247" t="s">
        <v>1355</v>
      </c>
      <c r="C1247" t="s">
        <v>1251</v>
      </c>
      <c r="D1247" t="s">
        <v>1178</v>
      </c>
    </row>
    <row r="1248" spans="1:4" hidden="1" x14ac:dyDescent="0.3">
      <c r="A1248" t="s">
        <v>981</v>
      </c>
      <c r="B1248" t="s">
        <v>1355</v>
      </c>
      <c r="C1248" t="s">
        <v>1251</v>
      </c>
      <c r="D1248" t="s">
        <v>1179</v>
      </c>
    </row>
    <row r="1249" spans="1:7" hidden="1" x14ac:dyDescent="0.3">
      <c r="A1249" t="s">
        <v>981</v>
      </c>
      <c r="B1249" t="s">
        <v>1355</v>
      </c>
      <c r="C1249" t="s">
        <v>1251</v>
      </c>
      <c r="D1249" t="s">
        <v>1180</v>
      </c>
    </row>
    <row r="1250" spans="1:7" hidden="1" x14ac:dyDescent="0.3">
      <c r="A1250" t="s">
        <v>981</v>
      </c>
      <c r="B1250" t="s">
        <v>1355</v>
      </c>
      <c r="C1250" t="s">
        <v>1251</v>
      </c>
      <c r="D1250" t="s">
        <v>1181</v>
      </c>
    </row>
    <row r="1251" spans="1:7" x14ac:dyDescent="0.3">
      <c r="A1251" t="s">
        <v>981</v>
      </c>
      <c r="B1251" t="s">
        <v>1356</v>
      </c>
      <c r="C1251" t="s">
        <v>54</v>
      </c>
      <c r="D1251" t="s">
        <v>1170</v>
      </c>
      <c r="E1251" s="377">
        <v>302</v>
      </c>
      <c r="F1251" s="377">
        <v>302</v>
      </c>
      <c r="G1251" s="377">
        <v>0</v>
      </c>
    </row>
    <row r="1252" spans="1:7" x14ac:dyDescent="0.3">
      <c r="A1252" t="s">
        <v>981</v>
      </c>
      <c r="B1252" t="s">
        <v>1356</v>
      </c>
      <c r="C1252" t="s">
        <v>54</v>
      </c>
      <c r="D1252" t="s">
        <v>1171</v>
      </c>
      <c r="E1252" s="377">
        <v>302</v>
      </c>
      <c r="F1252" s="377">
        <v>302</v>
      </c>
      <c r="G1252" s="377">
        <v>0</v>
      </c>
    </row>
    <row r="1253" spans="1:7" x14ac:dyDescent="0.3">
      <c r="A1253" t="s">
        <v>981</v>
      </c>
      <c r="B1253" t="s">
        <v>1356</v>
      </c>
      <c r="C1253" t="s">
        <v>54</v>
      </c>
      <c r="D1253" t="s">
        <v>1172</v>
      </c>
      <c r="E1253" s="377">
        <v>367.5</v>
      </c>
      <c r="F1253" s="377">
        <v>367.5</v>
      </c>
      <c r="G1253" s="377">
        <v>0</v>
      </c>
    </row>
    <row r="1254" spans="1:7" x14ac:dyDescent="0.3">
      <c r="A1254" t="s">
        <v>981</v>
      </c>
      <c r="B1254" t="s">
        <v>1356</v>
      </c>
      <c r="C1254" t="s">
        <v>54</v>
      </c>
      <c r="D1254" t="s">
        <v>1173</v>
      </c>
      <c r="E1254" s="377">
        <v>376</v>
      </c>
      <c r="F1254" s="377">
        <v>376</v>
      </c>
      <c r="G1254" s="377">
        <v>0</v>
      </c>
    </row>
    <row r="1255" spans="1:7" x14ac:dyDescent="0.3">
      <c r="A1255" t="s">
        <v>981</v>
      </c>
      <c r="B1255" t="s">
        <v>1356</v>
      </c>
      <c r="C1255" t="s">
        <v>54</v>
      </c>
      <c r="D1255" t="s">
        <v>1174</v>
      </c>
      <c r="E1255" s="377">
        <v>376</v>
      </c>
      <c r="F1255" s="377">
        <v>376</v>
      </c>
      <c r="G1255" s="377">
        <v>0</v>
      </c>
    </row>
    <row r="1256" spans="1:7" x14ac:dyDescent="0.3">
      <c r="A1256" t="s">
        <v>981</v>
      </c>
      <c r="B1256" t="s">
        <v>1356</v>
      </c>
      <c r="C1256" t="s">
        <v>54</v>
      </c>
      <c r="D1256" t="s">
        <v>1175</v>
      </c>
      <c r="E1256" s="377">
        <v>376</v>
      </c>
      <c r="F1256" s="377">
        <v>376</v>
      </c>
      <c r="G1256" s="377">
        <v>0</v>
      </c>
    </row>
    <row r="1257" spans="1:7" x14ac:dyDescent="0.3">
      <c r="A1257" t="s">
        <v>981</v>
      </c>
      <c r="B1257" t="s">
        <v>1356</v>
      </c>
      <c r="C1257" t="s">
        <v>54</v>
      </c>
      <c r="D1257" t="s">
        <v>1176</v>
      </c>
      <c r="E1257" s="377">
        <v>379.1</v>
      </c>
      <c r="F1257" s="377">
        <v>379.1</v>
      </c>
      <c r="G1257" s="377">
        <v>0</v>
      </c>
    </row>
    <row r="1258" spans="1:7" x14ac:dyDescent="0.3">
      <c r="A1258" t="s">
        <v>981</v>
      </c>
      <c r="B1258" t="s">
        <v>1356</v>
      </c>
      <c r="C1258" t="s">
        <v>54</v>
      </c>
      <c r="D1258" t="s">
        <v>1177</v>
      </c>
      <c r="E1258" s="377">
        <v>357.2</v>
      </c>
      <c r="F1258" s="377">
        <v>357.2</v>
      </c>
      <c r="G1258" s="377">
        <v>0</v>
      </c>
    </row>
    <row r="1259" spans="1:7" x14ac:dyDescent="0.3">
      <c r="A1259" t="s">
        <v>981</v>
      </c>
      <c r="B1259" t="s">
        <v>1356</v>
      </c>
      <c r="C1259" t="s">
        <v>54</v>
      </c>
      <c r="D1259" t="s">
        <v>1178</v>
      </c>
      <c r="E1259" s="377">
        <v>365</v>
      </c>
      <c r="F1259" s="377">
        <v>365</v>
      </c>
      <c r="G1259" s="377">
        <v>0</v>
      </c>
    </row>
    <row r="1260" spans="1:7" x14ac:dyDescent="0.3">
      <c r="A1260" t="s">
        <v>981</v>
      </c>
      <c r="B1260" t="s">
        <v>1356</v>
      </c>
      <c r="C1260" t="s">
        <v>54</v>
      </c>
      <c r="D1260" t="s">
        <v>1179</v>
      </c>
      <c r="E1260" s="377">
        <v>426.3</v>
      </c>
      <c r="F1260" s="377">
        <v>426.3</v>
      </c>
      <c r="G1260" s="377">
        <v>0</v>
      </c>
    </row>
    <row r="1261" spans="1:7" x14ac:dyDescent="0.3">
      <c r="A1261" t="s">
        <v>981</v>
      </c>
      <c r="B1261" t="s">
        <v>1356</v>
      </c>
      <c r="C1261" t="s">
        <v>54</v>
      </c>
      <c r="D1261" t="s">
        <v>1180</v>
      </c>
      <c r="E1261" s="377">
        <v>447.1</v>
      </c>
      <c r="F1261" s="377">
        <v>447.1</v>
      </c>
      <c r="G1261" s="377">
        <v>0</v>
      </c>
    </row>
    <row r="1262" spans="1:7" x14ac:dyDescent="0.3">
      <c r="A1262" t="s">
        <v>981</v>
      </c>
      <c r="B1262" t="s">
        <v>1356</v>
      </c>
      <c r="C1262" t="s">
        <v>54</v>
      </c>
      <c r="D1262" t="s">
        <v>1181</v>
      </c>
      <c r="E1262" s="377">
        <v>348.6</v>
      </c>
      <c r="F1262" s="377">
        <v>348.6</v>
      </c>
      <c r="G1262" s="377">
        <v>0</v>
      </c>
    </row>
    <row r="1263" spans="1:7" hidden="1" x14ac:dyDescent="0.3">
      <c r="A1263" t="s">
        <v>981</v>
      </c>
      <c r="B1263" t="s">
        <v>1357</v>
      </c>
      <c r="C1263" t="s">
        <v>1169</v>
      </c>
      <c r="D1263" t="s">
        <v>1170</v>
      </c>
    </row>
    <row r="1264" spans="1:7" hidden="1" x14ac:dyDescent="0.3">
      <c r="A1264" t="s">
        <v>981</v>
      </c>
      <c r="B1264" t="s">
        <v>1357</v>
      </c>
      <c r="C1264" t="s">
        <v>1169</v>
      </c>
      <c r="D1264" t="s">
        <v>1171</v>
      </c>
    </row>
    <row r="1265" spans="1:4" hidden="1" x14ac:dyDescent="0.3">
      <c r="A1265" t="s">
        <v>981</v>
      </c>
      <c r="B1265" t="s">
        <v>1357</v>
      </c>
      <c r="C1265" t="s">
        <v>1169</v>
      </c>
      <c r="D1265" t="s">
        <v>1172</v>
      </c>
    </row>
    <row r="1266" spans="1:4" hidden="1" x14ac:dyDescent="0.3">
      <c r="A1266" t="s">
        <v>981</v>
      </c>
      <c r="B1266" t="s">
        <v>1357</v>
      </c>
      <c r="C1266" t="s">
        <v>1169</v>
      </c>
      <c r="D1266" t="s">
        <v>1173</v>
      </c>
    </row>
    <row r="1267" spans="1:4" hidden="1" x14ac:dyDescent="0.3">
      <c r="A1267" t="s">
        <v>981</v>
      </c>
      <c r="B1267" t="s">
        <v>1357</v>
      </c>
      <c r="C1267" t="s">
        <v>1169</v>
      </c>
      <c r="D1267" t="s">
        <v>1174</v>
      </c>
    </row>
    <row r="1268" spans="1:4" hidden="1" x14ac:dyDescent="0.3">
      <c r="A1268" t="s">
        <v>981</v>
      </c>
      <c r="B1268" t="s">
        <v>1357</v>
      </c>
      <c r="C1268" t="s">
        <v>1169</v>
      </c>
      <c r="D1268" t="s">
        <v>1175</v>
      </c>
    </row>
    <row r="1269" spans="1:4" hidden="1" x14ac:dyDescent="0.3">
      <c r="A1269" t="s">
        <v>981</v>
      </c>
      <c r="B1269" t="s">
        <v>1357</v>
      </c>
      <c r="C1269" t="s">
        <v>1169</v>
      </c>
      <c r="D1269" t="s">
        <v>1176</v>
      </c>
    </row>
    <row r="1270" spans="1:4" hidden="1" x14ac:dyDescent="0.3">
      <c r="A1270" t="s">
        <v>981</v>
      </c>
      <c r="B1270" t="s">
        <v>1357</v>
      </c>
      <c r="C1270" t="s">
        <v>1169</v>
      </c>
      <c r="D1270" t="s">
        <v>1177</v>
      </c>
    </row>
    <row r="1271" spans="1:4" hidden="1" x14ac:dyDescent="0.3">
      <c r="A1271" t="s">
        <v>981</v>
      </c>
      <c r="B1271" t="s">
        <v>1357</v>
      </c>
      <c r="C1271" t="s">
        <v>1169</v>
      </c>
      <c r="D1271" t="s">
        <v>1178</v>
      </c>
    </row>
    <row r="1272" spans="1:4" hidden="1" x14ac:dyDescent="0.3">
      <c r="A1272" t="s">
        <v>981</v>
      </c>
      <c r="B1272" t="s">
        <v>1357</v>
      </c>
      <c r="C1272" t="s">
        <v>1169</v>
      </c>
      <c r="D1272" t="s">
        <v>1179</v>
      </c>
    </row>
    <row r="1273" spans="1:4" hidden="1" x14ac:dyDescent="0.3">
      <c r="A1273" t="s">
        <v>981</v>
      </c>
      <c r="B1273" t="s">
        <v>1357</v>
      </c>
      <c r="C1273" t="s">
        <v>1169</v>
      </c>
      <c r="D1273" t="s">
        <v>1180</v>
      </c>
    </row>
    <row r="1274" spans="1:4" hidden="1" x14ac:dyDescent="0.3">
      <c r="A1274" t="s">
        <v>981</v>
      </c>
      <c r="B1274" t="s">
        <v>1357</v>
      </c>
      <c r="C1274" t="s">
        <v>1169</v>
      </c>
      <c r="D1274" t="s">
        <v>1181</v>
      </c>
    </row>
    <row r="1275" spans="1:4" hidden="1" x14ac:dyDescent="0.3">
      <c r="A1275" t="s">
        <v>981</v>
      </c>
      <c r="B1275" t="s">
        <v>1358</v>
      </c>
      <c r="C1275" t="s">
        <v>61</v>
      </c>
      <c r="D1275" t="s">
        <v>1170</v>
      </c>
    </row>
    <row r="1276" spans="1:4" hidden="1" x14ac:dyDescent="0.3">
      <c r="A1276" t="s">
        <v>981</v>
      </c>
      <c r="B1276" t="s">
        <v>1358</v>
      </c>
      <c r="C1276" t="s">
        <v>61</v>
      </c>
      <c r="D1276" t="s">
        <v>1171</v>
      </c>
    </row>
    <row r="1277" spans="1:4" hidden="1" x14ac:dyDescent="0.3">
      <c r="A1277" t="s">
        <v>981</v>
      </c>
      <c r="B1277" t="s">
        <v>1358</v>
      </c>
      <c r="C1277" t="s">
        <v>61</v>
      </c>
      <c r="D1277" t="s">
        <v>1172</v>
      </c>
    </row>
    <row r="1278" spans="1:4" hidden="1" x14ac:dyDescent="0.3">
      <c r="A1278" t="s">
        <v>981</v>
      </c>
      <c r="B1278" t="s">
        <v>1358</v>
      </c>
      <c r="C1278" t="s">
        <v>61</v>
      </c>
      <c r="D1278" t="s">
        <v>1173</v>
      </c>
    </row>
    <row r="1279" spans="1:4" hidden="1" x14ac:dyDescent="0.3">
      <c r="A1279" t="s">
        <v>981</v>
      </c>
      <c r="B1279" t="s">
        <v>1358</v>
      </c>
      <c r="C1279" t="s">
        <v>61</v>
      </c>
      <c r="D1279" t="s">
        <v>1174</v>
      </c>
    </row>
    <row r="1280" spans="1:4" hidden="1" x14ac:dyDescent="0.3">
      <c r="A1280" t="s">
        <v>981</v>
      </c>
      <c r="B1280" t="s">
        <v>1358</v>
      </c>
      <c r="C1280" t="s">
        <v>61</v>
      </c>
      <c r="D1280" t="s">
        <v>1175</v>
      </c>
    </row>
    <row r="1281" spans="1:4" hidden="1" x14ac:dyDescent="0.3">
      <c r="A1281" t="s">
        <v>981</v>
      </c>
      <c r="B1281" t="s">
        <v>1358</v>
      </c>
      <c r="C1281" t="s">
        <v>61</v>
      </c>
      <c r="D1281" t="s">
        <v>1176</v>
      </c>
    </row>
    <row r="1282" spans="1:4" hidden="1" x14ac:dyDescent="0.3">
      <c r="A1282" t="s">
        <v>981</v>
      </c>
      <c r="B1282" t="s">
        <v>1358</v>
      </c>
      <c r="C1282" t="s">
        <v>61</v>
      </c>
      <c r="D1282" t="s">
        <v>1177</v>
      </c>
    </row>
    <row r="1283" spans="1:4" hidden="1" x14ac:dyDescent="0.3">
      <c r="A1283" t="s">
        <v>981</v>
      </c>
      <c r="B1283" t="s">
        <v>1358</v>
      </c>
      <c r="C1283" t="s">
        <v>61</v>
      </c>
      <c r="D1283" t="s">
        <v>1178</v>
      </c>
    </row>
    <row r="1284" spans="1:4" hidden="1" x14ac:dyDescent="0.3">
      <c r="A1284" t="s">
        <v>981</v>
      </c>
      <c r="B1284" t="s">
        <v>1358</v>
      </c>
      <c r="C1284" t="s">
        <v>61</v>
      </c>
      <c r="D1284" t="s">
        <v>1179</v>
      </c>
    </row>
    <row r="1285" spans="1:4" hidden="1" x14ac:dyDescent="0.3">
      <c r="A1285" t="s">
        <v>981</v>
      </c>
      <c r="B1285" t="s">
        <v>1358</v>
      </c>
      <c r="C1285" t="s">
        <v>61</v>
      </c>
      <c r="D1285" t="s">
        <v>1180</v>
      </c>
    </row>
    <row r="1286" spans="1:4" hidden="1" x14ac:dyDescent="0.3">
      <c r="A1286" t="s">
        <v>981</v>
      </c>
      <c r="B1286" t="s">
        <v>1358</v>
      </c>
      <c r="C1286" t="s">
        <v>61</v>
      </c>
      <c r="D1286" t="s">
        <v>1181</v>
      </c>
    </row>
    <row r="1287" spans="1:4" hidden="1" x14ac:dyDescent="0.3">
      <c r="A1287" t="s">
        <v>981</v>
      </c>
      <c r="B1287" t="s">
        <v>1359</v>
      </c>
      <c r="C1287" t="s">
        <v>61</v>
      </c>
      <c r="D1287" t="s">
        <v>1170</v>
      </c>
    </row>
    <row r="1288" spans="1:4" hidden="1" x14ac:dyDescent="0.3">
      <c r="A1288" t="s">
        <v>981</v>
      </c>
      <c r="B1288" t="s">
        <v>1359</v>
      </c>
      <c r="C1288" t="s">
        <v>61</v>
      </c>
      <c r="D1288" t="s">
        <v>1171</v>
      </c>
    </row>
    <row r="1289" spans="1:4" hidden="1" x14ac:dyDescent="0.3">
      <c r="A1289" t="s">
        <v>981</v>
      </c>
      <c r="B1289" t="s">
        <v>1359</v>
      </c>
      <c r="C1289" t="s">
        <v>61</v>
      </c>
      <c r="D1289" t="s">
        <v>1172</v>
      </c>
    </row>
    <row r="1290" spans="1:4" hidden="1" x14ac:dyDescent="0.3">
      <c r="A1290" t="s">
        <v>981</v>
      </c>
      <c r="B1290" t="s">
        <v>1359</v>
      </c>
      <c r="C1290" t="s">
        <v>61</v>
      </c>
      <c r="D1290" t="s">
        <v>1173</v>
      </c>
    </row>
    <row r="1291" spans="1:4" hidden="1" x14ac:dyDescent="0.3">
      <c r="A1291" t="s">
        <v>981</v>
      </c>
      <c r="B1291" t="s">
        <v>1359</v>
      </c>
      <c r="C1291" t="s">
        <v>61</v>
      </c>
      <c r="D1291" t="s">
        <v>1174</v>
      </c>
    </row>
    <row r="1292" spans="1:4" hidden="1" x14ac:dyDescent="0.3">
      <c r="A1292" t="s">
        <v>981</v>
      </c>
      <c r="B1292" t="s">
        <v>1359</v>
      </c>
      <c r="C1292" t="s">
        <v>61</v>
      </c>
      <c r="D1292" t="s">
        <v>1175</v>
      </c>
    </row>
    <row r="1293" spans="1:4" hidden="1" x14ac:dyDescent="0.3">
      <c r="A1293" t="s">
        <v>981</v>
      </c>
      <c r="B1293" t="s">
        <v>1359</v>
      </c>
      <c r="C1293" t="s">
        <v>61</v>
      </c>
      <c r="D1293" t="s">
        <v>1176</v>
      </c>
    </row>
    <row r="1294" spans="1:4" hidden="1" x14ac:dyDescent="0.3">
      <c r="A1294" t="s">
        <v>981</v>
      </c>
      <c r="B1294" t="s">
        <v>1359</v>
      </c>
      <c r="C1294" t="s">
        <v>61</v>
      </c>
      <c r="D1294" t="s">
        <v>1177</v>
      </c>
    </row>
    <row r="1295" spans="1:4" hidden="1" x14ac:dyDescent="0.3">
      <c r="A1295" t="s">
        <v>981</v>
      </c>
      <c r="B1295" t="s">
        <v>1359</v>
      </c>
      <c r="C1295" t="s">
        <v>61</v>
      </c>
      <c r="D1295" t="s">
        <v>1178</v>
      </c>
    </row>
    <row r="1296" spans="1:4" hidden="1" x14ac:dyDescent="0.3">
      <c r="A1296" t="s">
        <v>981</v>
      </c>
      <c r="B1296" t="s">
        <v>1359</v>
      </c>
      <c r="C1296" t="s">
        <v>61</v>
      </c>
      <c r="D1296" t="s">
        <v>1179</v>
      </c>
    </row>
    <row r="1297" spans="1:4" hidden="1" x14ac:dyDescent="0.3">
      <c r="A1297" t="s">
        <v>981</v>
      </c>
      <c r="B1297" t="s">
        <v>1359</v>
      </c>
      <c r="C1297" t="s">
        <v>61</v>
      </c>
      <c r="D1297" t="s">
        <v>1180</v>
      </c>
    </row>
    <row r="1298" spans="1:4" hidden="1" x14ac:dyDescent="0.3">
      <c r="A1298" t="s">
        <v>981</v>
      </c>
      <c r="B1298" t="s">
        <v>1359</v>
      </c>
      <c r="C1298" t="s">
        <v>61</v>
      </c>
      <c r="D1298" t="s">
        <v>1181</v>
      </c>
    </row>
    <row r="1299" spans="1:4" hidden="1" x14ac:dyDescent="0.3">
      <c r="A1299" t="s">
        <v>981</v>
      </c>
      <c r="B1299" t="s">
        <v>1360</v>
      </c>
      <c r="C1299" t="s">
        <v>61</v>
      </c>
      <c r="D1299" t="s">
        <v>1170</v>
      </c>
    </row>
    <row r="1300" spans="1:4" hidden="1" x14ac:dyDescent="0.3">
      <c r="A1300" t="s">
        <v>981</v>
      </c>
      <c r="B1300" t="s">
        <v>1360</v>
      </c>
      <c r="C1300" t="s">
        <v>61</v>
      </c>
      <c r="D1300" t="s">
        <v>1171</v>
      </c>
    </row>
    <row r="1301" spans="1:4" hidden="1" x14ac:dyDescent="0.3">
      <c r="A1301" t="s">
        <v>981</v>
      </c>
      <c r="B1301" t="s">
        <v>1360</v>
      </c>
      <c r="C1301" t="s">
        <v>61</v>
      </c>
      <c r="D1301" t="s">
        <v>1172</v>
      </c>
    </row>
    <row r="1302" spans="1:4" hidden="1" x14ac:dyDescent="0.3">
      <c r="A1302" t="s">
        <v>981</v>
      </c>
      <c r="B1302" t="s">
        <v>1360</v>
      </c>
      <c r="C1302" t="s">
        <v>61</v>
      </c>
      <c r="D1302" t="s">
        <v>1173</v>
      </c>
    </row>
    <row r="1303" spans="1:4" hidden="1" x14ac:dyDescent="0.3">
      <c r="A1303" t="s">
        <v>981</v>
      </c>
      <c r="B1303" t="s">
        <v>1360</v>
      </c>
      <c r="C1303" t="s">
        <v>61</v>
      </c>
      <c r="D1303" t="s">
        <v>1174</v>
      </c>
    </row>
    <row r="1304" spans="1:4" hidden="1" x14ac:dyDescent="0.3">
      <c r="A1304" t="s">
        <v>981</v>
      </c>
      <c r="B1304" t="s">
        <v>1360</v>
      </c>
      <c r="C1304" t="s">
        <v>61</v>
      </c>
      <c r="D1304" t="s">
        <v>1175</v>
      </c>
    </row>
    <row r="1305" spans="1:4" hidden="1" x14ac:dyDescent="0.3">
      <c r="A1305" t="s">
        <v>981</v>
      </c>
      <c r="B1305" t="s">
        <v>1360</v>
      </c>
      <c r="C1305" t="s">
        <v>61</v>
      </c>
      <c r="D1305" t="s">
        <v>1176</v>
      </c>
    </row>
    <row r="1306" spans="1:4" hidden="1" x14ac:dyDescent="0.3">
      <c r="A1306" t="s">
        <v>981</v>
      </c>
      <c r="B1306" t="s">
        <v>1360</v>
      </c>
      <c r="C1306" t="s">
        <v>61</v>
      </c>
      <c r="D1306" t="s">
        <v>1177</v>
      </c>
    </row>
    <row r="1307" spans="1:4" hidden="1" x14ac:dyDescent="0.3">
      <c r="A1307" t="s">
        <v>981</v>
      </c>
      <c r="B1307" t="s">
        <v>1360</v>
      </c>
      <c r="C1307" t="s">
        <v>61</v>
      </c>
      <c r="D1307" t="s">
        <v>1178</v>
      </c>
    </row>
    <row r="1308" spans="1:4" hidden="1" x14ac:dyDescent="0.3">
      <c r="A1308" t="s">
        <v>981</v>
      </c>
      <c r="B1308" t="s">
        <v>1360</v>
      </c>
      <c r="C1308" t="s">
        <v>61</v>
      </c>
      <c r="D1308" t="s">
        <v>1179</v>
      </c>
    </row>
    <row r="1309" spans="1:4" hidden="1" x14ac:dyDescent="0.3">
      <c r="A1309" t="s">
        <v>981</v>
      </c>
      <c r="B1309" t="s">
        <v>1360</v>
      </c>
      <c r="C1309" t="s">
        <v>61</v>
      </c>
      <c r="D1309" t="s">
        <v>1180</v>
      </c>
    </row>
    <row r="1310" spans="1:4" hidden="1" x14ac:dyDescent="0.3">
      <c r="A1310" t="s">
        <v>981</v>
      </c>
      <c r="B1310" t="s">
        <v>1360</v>
      </c>
      <c r="C1310" t="s">
        <v>61</v>
      </c>
      <c r="D1310" t="s">
        <v>1181</v>
      </c>
    </row>
    <row r="1311" spans="1:4" hidden="1" x14ac:dyDescent="0.3">
      <c r="A1311" t="s">
        <v>981</v>
      </c>
      <c r="B1311" t="s">
        <v>1361</v>
      </c>
      <c r="C1311" t="s">
        <v>1169</v>
      </c>
      <c r="D1311" t="s">
        <v>1177</v>
      </c>
    </row>
    <row r="1312" spans="1:4" hidden="1" x14ac:dyDescent="0.3">
      <c r="A1312" t="s">
        <v>981</v>
      </c>
      <c r="B1312" t="s">
        <v>1361</v>
      </c>
      <c r="C1312" t="s">
        <v>1169</v>
      </c>
      <c r="D1312" t="s">
        <v>1178</v>
      </c>
    </row>
    <row r="1313" spans="1:4" hidden="1" x14ac:dyDescent="0.3">
      <c r="A1313" t="s">
        <v>981</v>
      </c>
      <c r="B1313" t="s">
        <v>1361</v>
      </c>
      <c r="C1313" t="s">
        <v>1169</v>
      </c>
      <c r="D1313" t="s">
        <v>1179</v>
      </c>
    </row>
    <row r="1314" spans="1:4" hidden="1" x14ac:dyDescent="0.3">
      <c r="A1314" t="s">
        <v>981</v>
      </c>
      <c r="B1314" t="s">
        <v>1361</v>
      </c>
      <c r="C1314" t="s">
        <v>1169</v>
      </c>
      <c r="D1314" t="s">
        <v>1180</v>
      </c>
    </row>
    <row r="1315" spans="1:4" hidden="1" x14ac:dyDescent="0.3">
      <c r="A1315" t="s">
        <v>981</v>
      </c>
      <c r="B1315" t="s">
        <v>1361</v>
      </c>
      <c r="C1315" t="s">
        <v>1169</v>
      </c>
      <c r="D1315" t="s">
        <v>1181</v>
      </c>
    </row>
    <row r="1316" spans="1:4" hidden="1" x14ac:dyDescent="0.3">
      <c r="A1316" t="s">
        <v>981</v>
      </c>
      <c r="B1316" t="s">
        <v>1362</v>
      </c>
      <c r="C1316" t="s">
        <v>1169</v>
      </c>
      <c r="D1316" t="s">
        <v>1179</v>
      </c>
    </row>
    <row r="1317" spans="1:4" hidden="1" x14ac:dyDescent="0.3">
      <c r="A1317" t="s">
        <v>981</v>
      </c>
      <c r="B1317" t="s">
        <v>1362</v>
      </c>
      <c r="C1317" t="s">
        <v>1169</v>
      </c>
      <c r="D1317" t="s">
        <v>1180</v>
      </c>
    </row>
    <row r="1318" spans="1:4" hidden="1" x14ac:dyDescent="0.3">
      <c r="A1318" t="s">
        <v>981</v>
      </c>
      <c r="B1318" t="s">
        <v>1362</v>
      </c>
      <c r="C1318" t="s">
        <v>1169</v>
      </c>
      <c r="D1318" t="s">
        <v>1181</v>
      </c>
    </row>
    <row r="1319" spans="1:4" hidden="1" x14ac:dyDescent="0.3">
      <c r="A1319" t="s">
        <v>981</v>
      </c>
      <c r="B1319" t="s">
        <v>1363</v>
      </c>
      <c r="C1319" t="s">
        <v>1169</v>
      </c>
      <c r="D1319" t="s">
        <v>1179</v>
      </c>
    </row>
    <row r="1320" spans="1:4" hidden="1" x14ac:dyDescent="0.3">
      <c r="A1320" t="s">
        <v>981</v>
      </c>
      <c r="B1320" t="s">
        <v>1363</v>
      </c>
      <c r="C1320" t="s">
        <v>1169</v>
      </c>
      <c r="D1320" t="s">
        <v>1180</v>
      </c>
    </row>
    <row r="1321" spans="1:4" hidden="1" x14ac:dyDescent="0.3">
      <c r="A1321" t="s">
        <v>981</v>
      </c>
      <c r="B1321" t="s">
        <v>1363</v>
      </c>
      <c r="C1321" t="s">
        <v>1169</v>
      </c>
      <c r="D1321" t="s">
        <v>1181</v>
      </c>
    </row>
    <row r="1322" spans="1:4" hidden="1" x14ac:dyDescent="0.3">
      <c r="A1322" t="s">
        <v>981</v>
      </c>
      <c r="B1322" t="s">
        <v>1364</v>
      </c>
      <c r="C1322" t="s">
        <v>1169</v>
      </c>
      <c r="D1322" t="s">
        <v>1179</v>
      </c>
    </row>
    <row r="1323" spans="1:4" hidden="1" x14ac:dyDescent="0.3">
      <c r="A1323" t="s">
        <v>981</v>
      </c>
      <c r="B1323" t="s">
        <v>1364</v>
      </c>
      <c r="C1323" t="s">
        <v>1169</v>
      </c>
      <c r="D1323" t="s">
        <v>1180</v>
      </c>
    </row>
    <row r="1324" spans="1:4" hidden="1" x14ac:dyDescent="0.3">
      <c r="A1324" t="s">
        <v>981</v>
      </c>
      <c r="B1324" t="s">
        <v>1364</v>
      </c>
      <c r="C1324" t="s">
        <v>1169</v>
      </c>
      <c r="D1324" t="s">
        <v>1181</v>
      </c>
    </row>
    <row r="1325" spans="1:4" hidden="1" x14ac:dyDescent="0.3">
      <c r="A1325" t="s">
        <v>839</v>
      </c>
      <c r="B1325" t="s">
        <v>1365</v>
      </c>
      <c r="C1325" t="s">
        <v>1169</v>
      </c>
      <c r="D1325" t="s">
        <v>1170</v>
      </c>
    </row>
    <row r="1326" spans="1:4" hidden="1" x14ac:dyDescent="0.3">
      <c r="A1326" t="s">
        <v>839</v>
      </c>
      <c r="B1326" t="s">
        <v>1365</v>
      </c>
      <c r="C1326" t="s">
        <v>1169</v>
      </c>
      <c r="D1326" t="s">
        <v>1171</v>
      </c>
    </row>
    <row r="1327" spans="1:4" hidden="1" x14ac:dyDescent="0.3">
      <c r="A1327" t="s">
        <v>839</v>
      </c>
      <c r="B1327" t="s">
        <v>1365</v>
      </c>
      <c r="C1327" t="s">
        <v>1169</v>
      </c>
      <c r="D1327" t="s">
        <v>1172</v>
      </c>
    </row>
    <row r="1328" spans="1:4" hidden="1" x14ac:dyDescent="0.3">
      <c r="A1328" t="s">
        <v>839</v>
      </c>
      <c r="B1328" t="s">
        <v>1365</v>
      </c>
      <c r="C1328" t="s">
        <v>1169</v>
      </c>
      <c r="D1328" t="s">
        <v>1173</v>
      </c>
    </row>
    <row r="1329" spans="1:4" hidden="1" x14ac:dyDescent="0.3">
      <c r="A1329" t="s">
        <v>839</v>
      </c>
      <c r="B1329" t="s">
        <v>1365</v>
      </c>
      <c r="C1329" t="s">
        <v>1169</v>
      </c>
      <c r="D1329" t="s">
        <v>1174</v>
      </c>
    </row>
    <row r="1330" spans="1:4" hidden="1" x14ac:dyDescent="0.3">
      <c r="A1330" t="s">
        <v>839</v>
      </c>
      <c r="B1330" t="s">
        <v>1365</v>
      </c>
      <c r="C1330" t="s">
        <v>1169</v>
      </c>
      <c r="D1330" t="s">
        <v>1175</v>
      </c>
    </row>
    <row r="1331" spans="1:4" hidden="1" x14ac:dyDescent="0.3">
      <c r="A1331" t="s">
        <v>839</v>
      </c>
      <c r="B1331" t="s">
        <v>1365</v>
      </c>
      <c r="C1331" t="s">
        <v>1169</v>
      </c>
      <c r="D1331" t="s">
        <v>1176</v>
      </c>
    </row>
    <row r="1332" spans="1:4" hidden="1" x14ac:dyDescent="0.3">
      <c r="A1332" t="s">
        <v>839</v>
      </c>
      <c r="B1332" t="s">
        <v>1365</v>
      </c>
      <c r="C1332" t="s">
        <v>1169</v>
      </c>
      <c r="D1332" t="s">
        <v>1177</v>
      </c>
    </row>
    <row r="1333" spans="1:4" hidden="1" x14ac:dyDescent="0.3">
      <c r="A1333" t="s">
        <v>839</v>
      </c>
      <c r="B1333" t="s">
        <v>1365</v>
      </c>
      <c r="C1333" t="s">
        <v>1169</v>
      </c>
      <c r="D1333" t="s">
        <v>1178</v>
      </c>
    </row>
    <row r="1334" spans="1:4" hidden="1" x14ac:dyDescent="0.3">
      <c r="A1334" t="s">
        <v>839</v>
      </c>
      <c r="B1334" t="s">
        <v>1365</v>
      </c>
      <c r="C1334" t="s">
        <v>1169</v>
      </c>
      <c r="D1334" t="s">
        <v>1179</v>
      </c>
    </row>
    <row r="1335" spans="1:4" hidden="1" x14ac:dyDescent="0.3">
      <c r="A1335" t="s">
        <v>839</v>
      </c>
      <c r="B1335" t="s">
        <v>1365</v>
      </c>
      <c r="C1335" t="s">
        <v>1169</v>
      </c>
      <c r="D1335" t="s">
        <v>1180</v>
      </c>
    </row>
    <row r="1336" spans="1:4" hidden="1" x14ac:dyDescent="0.3">
      <c r="A1336" t="s">
        <v>839</v>
      </c>
      <c r="B1336" t="s">
        <v>1365</v>
      </c>
      <c r="C1336" t="s">
        <v>1169</v>
      </c>
      <c r="D1336" t="s">
        <v>1181</v>
      </c>
    </row>
    <row r="1337" spans="1:4" hidden="1" x14ac:dyDescent="0.3">
      <c r="A1337" t="s">
        <v>839</v>
      </c>
      <c r="B1337" t="s">
        <v>1366</v>
      </c>
      <c r="C1337" t="s">
        <v>1251</v>
      </c>
      <c r="D1337" t="s">
        <v>1170</v>
      </c>
    </row>
    <row r="1338" spans="1:4" hidden="1" x14ac:dyDescent="0.3">
      <c r="A1338" t="s">
        <v>839</v>
      </c>
      <c r="B1338" t="s">
        <v>1366</v>
      </c>
      <c r="C1338" t="s">
        <v>1251</v>
      </c>
      <c r="D1338" t="s">
        <v>1171</v>
      </c>
    </row>
    <row r="1339" spans="1:4" hidden="1" x14ac:dyDescent="0.3">
      <c r="A1339" t="s">
        <v>839</v>
      </c>
      <c r="B1339" t="s">
        <v>1366</v>
      </c>
      <c r="C1339" t="s">
        <v>1251</v>
      </c>
      <c r="D1339" t="s">
        <v>1172</v>
      </c>
    </row>
    <row r="1340" spans="1:4" hidden="1" x14ac:dyDescent="0.3">
      <c r="A1340" t="s">
        <v>839</v>
      </c>
      <c r="B1340" t="s">
        <v>1366</v>
      </c>
      <c r="C1340" t="s">
        <v>1251</v>
      </c>
      <c r="D1340" t="s">
        <v>1173</v>
      </c>
    </row>
    <row r="1341" spans="1:4" hidden="1" x14ac:dyDescent="0.3">
      <c r="A1341" t="s">
        <v>839</v>
      </c>
      <c r="B1341" t="s">
        <v>1366</v>
      </c>
      <c r="C1341" t="s">
        <v>1251</v>
      </c>
      <c r="D1341" t="s">
        <v>1174</v>
      </c>
    </row>
    <row r="1342" spans="1:4" hidden="1" x14ac:dyDescent="0.3">
      <c r="A1342" t="s">
        <v>839</v>
      </c>
      <c r="B1342" t="s">
        <v>1366</v>
      </c>
      <c r="C1342" t="s">
        <v>1251</v>
      </c>
      <c r="D1342" t="s">
        <v>1175</v>
      </c>
    </row>
    <row r="1343" spans="1:4" hidden="1" x14ac:dyDescent="0.3">
      <c r="A1343" t="s">
        <v>839</v>
      </c>
      <c r="B1343" t="s">
        <v>1366</v>
      </c>
      <c r="C1343" t="s">
        <v>1251</v>
      </c>
      <c r="D1343" t="s">
        <v>1176</v>
      </c>
    </row>
    <row r="1344" spans="1:4" hidden="1" x14ac:dyDescent="0.3">
      <c r="A1344" t="s">
        <v>839</v>
      </c>
      <c r="B1344" t="s">
        <v>1366</v>
      </c>
      <c r="C1344" t="s">
        <v>1251</v>
      </c>
      <c r="D1344" t="s">
        <v>1177</v>
      </c>
    </row>
    <row r="1345" spans="1:4" hidden="1" x14ac:dyDescent="0.3">
      <c r="A1345" t="s">
        <v>839</v>
      </c>
      <c r="B1345" t="s">
        <v>1366</v>
      </c>
      <c r="C1345" t="s">
        <v>1251</v>
      </c>
      <c r="D1345" t="s">
        <v>1178</v>
      </c>
    </row>
    <row r="1346" spans="1:4" hidden="1" x14ac:dyDescent="0.3">
      <c r="A1346" t="s">
        <v>839</v>
      </c>
      <c r="B1346" t="s">
        <v>1366</v>
      </c>
      <c r="C1346" t="s">
        <v>1251</v>
      </c>
      <c r="D1346" t="s">
        <v>1179</v>
      </c>
    </row>
    <row r="1347" spans="1:4" hidden="1" x14ac:dyDescent="0.3">
      <c r="A1347" t="s">
        <v>839</v>
      </c>
      <c r="B1347" t="s">
        <v>1366</v>
      </c>
      <c r="C1347" t="s">
        <v>1251</v>
      </c>
      <c r="D1347" t="s">
        <v>1180</v>
      </c>
    </row>
    <row r="1348" spans="1:4" hidden="1" x14ac:dyDescent="0.3">
      <c r="A1348" t="s">
        <v>839</v>
      </c>
      <c r="B1348" t="s">
        <v>1366</v>
      </c>
      <c r="C1348" t="s">
        <v>1251</v>
      </c>
      <c r="D1348" t="s">
        <v>1181</v>
      </c>
    </row>
    <row r="1349" spans="1:4" hidden="1" x14ac:dyDescent="0.3">
      <c r="A1349" t="s">
        <v>514</v>
      </c>
      <c r="B1349" t="s">
        <v>1367</v>
      </c>
      <c r="C1349" t="s">
        <v>1169</v>
      </c>
      <c r="D1349" t="s">
        <v>1170</v>
      </c>
    </row>
    <row r="1350" spans="1:4" hidden="1" x14ac:dyDescent="0.3">
      <c r="A1350" t="s">
        <v>514</v>
      </c>
      <c r="B1350" t="s">
        <v>1367</v>
      </c>
      <c r="C1350" t="s">
        <v>1169</v>
      </c>
      <c r="D1350" t="s">
        <v>1171</v>
      </c>
    </row>
    <row r="1351" spans="1:4" hidden="1" x14ac:dyDescent="0.3">
      <c r="A1351" t="s">
        <v>514</v>
      </c>
      <c r="B1351" t="s">
        <v>1367</v>
      </c>
      <c r="C1351" t="s">
        <v>1169</v>
      </c>
      <c r="D1351" t="s">
        <v>1172</v>
      </c>
    </row>
    <row r="1352" spans="1:4" hidden="1" x14ac:dyDescent="0.3">
      <c r="A1352" t="s">
        <v>514</v>
      </c>
      <c r="B1352" t="s">
        <v>1367</v>
      </c>
      <c r="C1352" t="s">
        <v>1169</v>
      </c>
      <c r="D1352" t="s">
        <v>1173</v>
      </c>
    </row>
    <row r="1353" spans="1:4" hidden="1" x14ac:dyDescent="0.3">
      <c r="A1353" t="s">
        <v>514</v>
      </c>
      <c r="B1353" t="s">
        <v>1367</v>
      </c>
      <c r="C1353" t="s">
        <v>1169</v>
      </c>
      <c r="D1353" t="s">
        <v>1174</v>
      </c>
    </row>
    <row r="1354" spans="1:4" hidden="1" x14ac:dyDescent="0.3">
      <c r="A1354" t="s">
        <v>514</v>
      </c>
      <c r="B1354" t="s">
        <v>1367</v>
      </c>
      <c r="C1354" t="s">
        <v>1169</v>
      </c>
      <c r="D1354" t="s">
        <v>1175</v>
      </c>
    </row>
    <row r="1355" spans="1:4" hidden="1" x14ac:dyDescent="0.3">
      <c r="A1355" t="s">
        <v>514</v>
      </c>
      <c r="B1355" t="s">
        <v>1367</v>
      </c>
      <c r="C1355" t="s">
        <v>1169</v>
      </c>
      <c r="D1355" t="s">
        <v>1176</v>
      </c>
    </row>
    <row r="1356" spans="1:4" hidden="1" x14ac:dyDescent="0.3">
      <c r="A1356" t="s">
        <v>514</v>
      </c>
      <c r="B1356" t="s">
        <v>1367</v>
      </c>
      <c r="C1356" t="s">
        <v>1169</v>
      </c>
      <c r="D1356" t="s">
        <v>1177</v>
      </c>
    </row>
    <row r="1357" spans="1:4" hidden="1" x14ac:dyDescent="0.3">
      <c r="A1357" t="s">
        <v>514</v>
      </c>
      <c r="B1357" t="s">
        <v>1367</v>
      </c>
      <c r="C1357" t="s">
        <v>1169</v>
      </c>
      <c r="D1357" t="s">
        <v>1178</v>
      </c>
    </row>
    <row r="1358" spans="1:4" hidden="1" x14ac:dyDescent="0.3">
      <c r="A1358" t="s">
        <v>514</v>
      </c>
      <c r="B1358" t="s">
        <v>1367</v>
      </c>
      <c r="C1358" t="s">
        <v>1169</v>
      </c>
      <c r="D1358" t="s">
        <v>1179</v>
      </c>
    </row>
    <row r="1359" spans="1:4" hidden="1" x14ac:dyDescent="0.3">
      <c r="A1359" t="s">
        <v>514</v>
      </c>
      <c r="B1359" t="s">
        <v>1367</v>
      </c>
      <c r="C1359" t="s">
        <v>1169</v>
      </c>
      <c r="D1359" t="s">
        <v>1180</v>
      </c>
    </row>
    <row r="1360" spans="1:4" hidden="1" x14ac:dyDescent="0.3">
      <c r="A1360" t="s">
        <v>514</v>
      </c>
      <c r="B1360" t="s">
        <v>1367</v>
      </c>
      <c r="C1360" t="s">
        <v>1169</v>
      </c>
      <c r="D1360" t="s">
        <v>1181</v>
      </c>
    </row>
    <row r="1361" spans="1:7" hidden="1" x14ac:dyDescent="0.3">
      <c r="A1361" t="s">
        <v>514</v>
      </c>
      <c r="B1361" t="s">
        <v>1368</v>
      </c>
      <c r="C1361" t="s">
        <v>1251</v>
      </c>
      <c r="D1361" t="s">
        <v>1170</v>
      </c>
    </row>
    <row r="1362" spans="1:7" hidden="1" x14ac:dyDescent="0.3">
      <c r="A1362" t="s">
        <v>514</v>
      </c>
      <c r="B1362" t="s">
        <v>1368</v>
      </c>
      <c r="C1362" t="s">
        <v>1251</v>
      </c>
      <c r="D1362" t="s">
        <v>1171</v>
      </c>
    </row>
    <row r="1363" spans="1:7" hidden="1" x14ac:dyDescent="0.3">
      <c r="A1363" t="s">
        <v>514</v>
      </c>
      <c r="B1363" t="s">
        <v>1368</v>
      </c>
      <c r="C1363" t="s">
        <v>1251</v>
      </c>
      <c r="D1363" t="s">
        <v>1172</v>
      </c>
    </row>
    <row r="1364" spans="1:7" hidden="1" x14ac:dyDescent="0.3">
      <c r="A1364" t="s">
        <v>514</v>
      </c>
      <c r="B1364" t="s">
        <v>1368</v>
      </c>
      <c r="C1364" t="s">
        <v>1251</v>
      </c>
      <c r="D1364" t="s">
        <v>1173</v>
      </c>
    </row>
    <row r="1365" spans="1:7" hidden="1" x14ac:dyDescent="0.3">
      <c r="A1365" t="s">
        <v>514</v>
      </c>
      <c r="B1365" t="s">
        <v>1368</v>
      </c>
      <c r="C1365" t="s">
        <v>1251</v>
      </c>
      <c r="D1365" t="s">
        <v>1174</v>
      </c>
    </row>
    <row r="1366" spans="1:7" hidden="1" x14ac:dyDescent="0.3">
      <c r="A1366" t="s">
        <v>514</v>
      </c>
      <c r="B1366" t="s">
        <v>1368</v>
      </c>
      <c r="C1366" t="s">
        <v>1251</v>
      </c>
      <c r="D1366" t="s">
        <v>1175</v>
      </c>
    </row>
    <row r="1367" spans="1:7" hidden="1" x14ac:dyDescent="0.3">
      <c r="A1367" t="s">
        <v>514</v>
      </c>
      <c r="B1367" t="s">
        <v>1368</v>
      </c>
      <c r="C1367" t="s">
        <v>1251</v>
      </c>
      <c r="D1367" t="s">
        <v>1176</v>
      </c>
    </row>
    <row r="1368" spans="1:7" hidden="1" x14ac:dyDescent="0.3">
      <c r="A1368" t="s">
        <v>514</v>
      </c>
      <c r="B1368" t="s">
        <v>1368</v>
      </c>
      <c r="C1368" t="s">
        <v>1251</v>
      </c>
      <c r="D1368" t="s">
        <v>1177</v>
      </c>
    </row>
    <row r="1369" spans="1:7" hidden="1" x14ac:dyDescent="0.3">
      <c r="A1369" t="s">
        <v>514</v>
      </c>
      <c r="B1369" t="s">
        <v>1368</v>
      </c>
      <c r="C1369" t="s">
        <v>1251</v>
      </c>
      <c r="D1369" t="s">
        <v>1178</v>
      </c>
    </row>
    <row r="1370" spans="1:7" hidden="1" x14ac:dyDescent="0.3">
      <c r="A1370" t="s">
        <v>514</v>
      </c>
      <c r="B1370" t="s">
        <v>1368</v>
      </c>
      <c r="C1370" t="s">
        <v>1251</v>
      </c>
      <c r="D1370" t="s">
        <v>1179</v>
      </c>
    </row>
    <row r="1371" spans="1:7" hidden="1" x14ac:dyDescent="0.3">
      <c r="A1371" t="s">
        <v>514</v>
      </c>
      <c r="B1371" t="s">
        <v>1368</v>
      </c>
      <c r="C1371" t="s">
        <v>1251</v>
      </c>
      <c r="D1371" t="s">
        <v>1180</v>
      </c>
    </row>
    <row r="1372" spans="1:7" hidden="1" x14ac:dyDescent="0.3">
      <c r="A1372" t="s">
        <v>514</v>
      </c>
      <c r="B1372" t="s">
        <v>1368</v>
      </c>
      <c r="C1372" t="s">
        <v>1251</v>
      </c>
      <c r="D1372" t="s">
        <v>1181</v>
      </c>
    </row>
    <row r="1373" spans="1:7" x14ac:dyDescent="0.3">
      <c r="A1373" t="s">
        <v>514</v>
      </c>
      <c r="B1373" t="s">
        <v>1369</v>
      </c>
      <c r="C1373" t="s">
        <v>54</v>
      </c>
      <c r="D1373" t="s">
        <v>1170</v>
      </c>
      <c r="E1373" s="377">
        <v>27.414450757575761</v>
      </c>
      <c r="F1373" s="377">
        <v>27.414450757575761</v>
      </c>
      <c r="G1373" s="377">
        <v>0</v>
      </c>
    </row>
    <row r="1374" spans="1:7" x14ac:dyDescent="0.3">
      <c r="A1374" t="s">
        <v>514</v>
      </c>
      <c r="B1374" t="s">
        <v>1369</v>
      </c>
      <c r="C1374" t="s">
        <v>54</v>
      </c>
      <c r="D1374" t="s">
        <v>1171</v>
      </c>
      <c r="E1374" s="377">
        <v>24.761439393939391</v>
      </c>
      <c r="F1374" s="377">
        <v>24.761439393939391</v>
      </c>
      <c r="G1374" s="377">
        <v>0</v>
      </c>
    </row>
    <row r="1375" spans="1:7" x14ac:dyDescent="0.3">
      <c r="A1375" t="s">
        <v>514</v>
      </c>
      <c r="B1375" t="s">
        <v>1369</v>
      </c>
      <c r="C1375" t="s">
        <v>54</v>
      </c>
      <c r="D1375" t="s">
        <v>1172</v>
      </c>
      <c r="E1375" s="377">
        <v>27.414450757575761</v>
      </c>
      <c r="F1375" s="377">
        <v>27.414450757575761</v>
      </c>
      <c r="G1375" s="377">
        <v>0</v>
      </c>
    </row>
    <row r="1376" spans="1:7" x14ac:dyDescent="0.3">
      <c r="A1376" t="s">
        <v>514</v>
      </c>
      <c r="B1376" t="s">
        <v>1369</v>
      </c>
      <c r="C1376" t="s">
        <v>54</v>
      </c>
      <c r="D1376" t="s">
        <v>1173</v>
      </c>
      <c r="E1376" s="377">
        <v>26.530113636363641</v>
      </c>
      <c r="F1376" s="377">
        <v>26.530113636363641</v>
      </c>
      <c r="G1376" s="377">
        <v>0</v>
      </c>
    </row>
    <row r="1377" spans="1:7" x14ac:dyDescent="0.3">
      <c r="A1377" t="s">
        <v>514</v>
      </c>
      <c r="B1377" t="s">
        <v>1369</v>
      </c>
      <c r="C1377" t="s">
        <v>54</v>
      </c>
      <c r="D1377" t="s">
        <v>1174</v>
      </c>
      <c r="E1377" s="377">
        <v>27.414450757575761</v>
      </c>
      <c r="F1377" s="377">
        <v>27.414450757575761</v>
      </c>
      <c r="G1377" s="377">
        <v>0</v>
      </c>
    </row>
    <row r="1378" spans="1:7" x14ac:dyDescent="0.3">
      <c r="A1378" t="s">
        <v>514</v>
      </c>
      <c r="B1378" t="s">
        <v>1369</v>
      </c>
      <c r="C1378" t="s">
        <v>54</v>
      </c>
      <c r="D1378" t="s">
        <v>1175</v>
      </c>
      <c r="E1378" s="377">
        <v>26.530113636363641</v>
      </c>
      <c r="F1378" s="377">
        <v>26.530113636363641</v>
      </c>
      <c r="G1378" s="377">
        <v>0</v>
      </c>
    </row>
    <row r="1379" spans="1:7" x14ac:dyDescent="0.3">
      <c r="A1379" t="s">
        <v>514</v>
      </c>
      <c r="B1379" t="s">
        <v>1369</v>
      </c>
      <c r="C1379" t="s">
        <v>54</v>
      </c>
      <c r="D1379" t="s">
        <v>1176</v>
      </c>
      <c r="E1379" s="377">
        <v>27.414450757575761</v>
      </c>
      <c r="F1379" s="377">
        <v>27.414450757575761</v>
      </c>
      <c r="G1379" s="377">
        <v>0</v>
      </c>
    </row>
    <row r="1380" spans="1:7" x14ac:dyDescent="0.3">
      <c r="A1380" t="s">
        <v>514</v>
      </c>
      <c r="B1380" t="s">
        <v>1369</v>
      </c>
      <c r="C1380" t="s">
        <v>54</v>
      </c>
      <c r="D1380" t="s">
        <v>1177</v>
      </c>
      <c r="E1380" s="377">
        <v>27.414450757575761</v>
      </c>
      <c r="F1380" s="377">
        <v>27.414450757575761</v>
      </c>
      <c r="G1380" s="377">
        <v>0</v>
      </c>
    </row>
    <row r="1381" spans="1:7" x14ac:dyDescent="0.3">
      <c r="A1381" t="s">
        <v>514</v>
      </c>
      <c r="B1381" t="s">
        <v>1369</v>
      </c>
      <c r="C1381" t="s">
        <v>54</v>
      </c>
      <c r="D1381" t="s">
        <v>1178</v>
      </c>
      <c r="E1381" s="377">
        <v>26.530113636363641</v>
      </c>
      <c r="F1381" s="377">
        <v>1.768674242424243</v>
      </c>
      <c r="G1381" s="377">
        <v>24.761439393939391</v>
      </c>
    </row>
    <row r="1382" spans="1:7" x14ac:dyDescent="0.3">
      <c r="A1382" t="s">
        <v>514</v>
      </c>
      <c r="B1382" t="s">
        <v>1369</v>
      </c>
      <c r="C1382" t="s">
        <v>54</v>
      </c>
      <c r="D1382" t="s">
        <v>1179</v>
      </c>
      <c r="E1382" s="377">
        <v>38.564762295081962</v>
      </c>
      <c r="F1382" s="377">
        <v>0</v>
      </c>
      <c r="G1382" s="377">
        <v>38.564762295081962</v>
      </c>
    </row>
    <row r="1383" spans="1:7" x14ac:dyDescent="0.3">
      <c r="A1383" t="s">
        <v>514</v>
      </c>
      <c r="B1383" t="s">
        <v>1369</v>
      </c>
      <c r="C1383" t="s">
        <v>54</v>
      </c>
      <c r="D1383" t="s">
        <v>1180</v>
      </c>
      <c r="E1383" s="377">
        <v>37.320737704918031</v>
      </c>
      <c r="F1383" s="377">
        <v>0</v>
      </c>
      <c r="G1383" s="377">
        <v>37.320737704918031</v>
      </c>
    </row>
    <row r="1384" spans="1:7" x14ac:dyDescent="0.3">
      <c r="A1384" t="s">
        <v>514</v>
      </c>
      <c r="B1384" t="s">
        <v>1369</v>
      </c>
      <c r="C1384" t="s">
        <v>54</v>
      </c>
      <c r="D1384" t="s">
        <v>1181</v>
      </c>
      <c r="E1384" s="377">
        <v>31.730700384997512</v>
      </c>
      <c r="F1384" s="377">
        <v>0</v>
      </c>
      <c r="G1384" s="377">
        <v>31.730700384997512</v>
      </c>
    </row>
    <row r="1385" spans="1:7" hidden="1" x14ac:dyDescent="0.3">
      <c r="A1385" t="s">
        <v>837</v>
      </c>
      <c r="B1385" t="s">
        <v>1370</v>
      </c>
      <c r="C1385" t="s">
        <v>1169</v>
      </c>
      <c r="D1385" t="s">
        <v>1176</v>
      </c>
    </row>
    <row r="1386" spans="1:7" hidden="1" x14ac:dyDescent="0.3">
      <c r="A1386" t="s">
        <v>837</v>
      </c>
      <c r="B1386" t="s">
        <v>1370</v>
      </c>
      <c r="C1386" t="s">
        <v>1169</v>
      </c>
      <c r="D1386" t="s">
        <v>1177</v>
      </c>
    </row>
    <row r="1387" spans="1:7" hidden="1" x14ac:dyDescent="0.3">
      <c r="A1387" t="s">
        <v>837</v>
      </c>
      <c r="B1387" t="s">
        <v>1370</v>
      </c>
      <c r="C1387" t="s">
        <v>1169</v>
      </c>
      <c r="D1387" t="s">
        <v>1178</v>
      </c>
    </row>
    <row r="1388" spans="1:7" hidden="1" x14ac:dyDescent="0.3">
      <c r="A1388" t="s">
        <v>837</v>
      </c>
      <c r="B1388" t="s">
        <v>1370</v>
      </c>
      <c r="C1388" t="s">
        <v>1169</v>
      </c>
      <c r="D1388" t="s">
        <v>1179</v>
      </c>
    </row>
    <row r="1389" spans="1:7" hidden="1" x14ac:dyDescent="0.3">
      <c r="A1389" t="s">
        <v>837</v>
      </c>
      <c r="B1389" t="s">
        <v>1370</v>
      </c>
      <c r="C1389" t="s">
        <v>1169</v>
      </c>
      <c r="D1389" t="s">
        <v>1180</v>
      </c>
    </row>
    <row r="1390" spans="1:7" hidden="1" x14ac:dyDescent="0.3">
      <c r="A1390" t="s">
        <v>837</v>
      </c>
      <c r="B1390" t="s">
        <v>1370</v>
      </c>
      <c r="C1390" t="s">
        <v>1169</v>
      </c>
      <c r="D1390" t="s">
        <v>1181</v>
      </c>
    </row>
    <row r="1391" spans="1:7" hidden="1" x14ac:dyDescent="0.3">
      <c r="A1391" t="s">
        <v>837</v>
      </c>
      <c r="B1391" t="s">
        <v>1371</v>
      </c>
      <c r="C1391" t="s">
        <v>1169</v>
      </c>
      <c r="D1391" t="s">
        <v>1170</v>
      </c>
    </row>
    <row r="1392" spans="1:7" hidden="1" x14ac:dyDescent="0.3">
      <c r="A1392" t="s">
        <v>837</v>
      </c>
      <c r="B1392" t="s">
        <v>1371</v>
      </c>
      <c r="C1392" t="s">
        <v>1169</v>
      </c>
      <c r="D1392" t="s">
        <v>1171</v>
      </c>
    </row>
    <row r="1393" spans="1:4" hidden="1" x14ac:dyDescent="0.3">
      <c r="A1393" t="s">
        <v>837</v>
      </c>
      <c r="B1393" t="s">
        <v>1371</v>
      </c>
      <c r="C1393" t="s">
        <v>1169</v>
      </c>
      <c r="D1393" t="s">
        <v>1172</v>
      </c>
    </row>
    <row r="1394" spans="1:4" hidden="1" x14ac:dyDescent="0.3">
      <c r="A1394" t="s">
        <v>837</v>
      </c>
      <c r="B1394" t="s">
        <v>1371</v>
      </c>
      <c r="C1394" t="s">
        <v>1169</v>
      </c>
      <c r="D1394" t="s">
        <v>1173</v>
      </c>
    </row>
    <row r="1395" spans="1:4" hidden="1" x14ac:dyDescent="0.3">
      <c r="A1395" t="s">
        <v>837</v>
      </c>
      <c r="B1395" t="s">
        <v>1371</v>
      </c>
      <c r="C1395" t="s">
        <v>1169</v>
      </c>
      <c r="D1395" t="s">
        <v>1174</v>
      </c>
    </row>
    <row r="1396" spans="1:4" hidden="1" x14ac:dyDescent="0.3">
      <c r="A1396" t="s">
        <v>837</v>
      </c>
      <c r="B1396" t="s">
        <v>1371</v>
      </c>
      <c r="C1396" t="s">
        <v>1169</v>
      </c>
      <c r="D1396" t="s">
        <v>1175</v>
      </c>
    </row>
    <row r="1397" spans="1:4" hidden="1" x14ac:dyDescent="0.3">
      <c r="A1397" t="s">
        <v>837</v>
      </c>
      <c r="B1397" t="s">
        <v>1371</v>
      </c>
      <c r="C1397" t="s">
        <v>1169</v>
      </c>
      <c r="D1397" t="s">
        <v>1176</v>
      </c>
    </row>
    <row r="1398" spans="1:4" hidden="1" x14ac:dyDescent="0.3">
      <c r="A1398" t="s">
        <v>837</v>
      </c>
      <c r="B1398" t="s">
        <v>1371</v>
      </c>
      <c r="C1398" t="s">
        <v>1169</v>
      </c>
      <c r="D1398" t="s">
        <v>1177</v>
      </c>
    </row>
    <row r="1399" spans="1:4" hidden="1" x14ac:dyDescent="0.3">
      <c r="A1399" t="s">
        <v>837</v>
      </c>
      <c r="B1399" t="s">
        <v>1371</v>
      </c>
      <c r="C1399" t="s">
        <v>1169</v>
      </c>
      <c r="D1399" t="s">
        <v>1178</v>
      </c>
    </row>
    <row r="1400" spans="1:4" hidden="1" x14ac:dyDescent="0.3">
      <c r="A1400" t="s">
        <v>837</v>
      </c>
      <c r="B1400" t="s">
        <v>1371</v>
      </c>
      <c r="C1400" t="s">
        <v>1169</v>
      </c>
      <c r="D1400" t="s">
        <v>1179</v>
      </c>
    </row>
    <row r="1401" spans="1:4" hidden="1" x14ac:dyDescent="0.3">
      <c r="A1401" t="s">
        <v>837</v>
      </c>
      <c r="B1401" t="s">
        <v>1371</v>
      </c>
      <c r="C1401" t="s">
        <v>1169</v>
      </c>
      <c r="D1401" t="s">
        <v>1180</v>
      </c>
    </row>
    <row r="1402" spans="1:4" hidden="1" x14ac:dyDescent="0.3">
      <c r="A1402" t="s">
        <v>837</v>
      </c>
      <c r="B1402" t="s">
        <v>1371</v>
      </c>
      <c r="C1402" t="s">
        <v>1169</v>
      </c>
      <c r="D1402" t="s">
        <v>1181</v>
      </c>
    </row>
    <row r="1403" spans="1:4" hidden="1" x14ac:dyDescent="0.3">
      <c r="A1403" t="s">
        <v>837</v>
      </c>
      <c r="B1403" t="s">
        <v>1372</v>
      </c>
      <c r="C1403" t="s">
        <v>1251</v>
      </c>
      <c r="D1403" t="s">
        <v>1176</v>
      </c>
    </row>
    <row r="1404" spans="1:4" hidden="1" x14ac:dyDescent="0.3">
      <c r="A1404" t="s">
        <v>837</v>
      </c>
      <c r="B1404" t="s">
        <v>1372</v>
      </c>
      <c r="C1404" t="s">
        <v>1251</v>
      </c>
      <c r="D1404" t="s">
        <v>1177</v>
      </c>
    </row>
    <row r="1405" spans="1:4" hidden="1" x14ac:dyDescent="0.3">
      <c r="A1405" t="s">
        <v>837</v>
      </c>
      <c r="B1405" t="s">
        <v>1372</v>
      </c>
      <c r="C1405" t="s">
        <v>1251</v>
      </c>
      <c r="D1405" t="s">
        <v>1178</v>
      </c>
    </row>
    <row r="1406" spans="1:4" hidden="1" x14ac:dyDescent="0.3">
      <c r="A1406" t="s">
        <v>837</v>
      </c>
      <c r="B1406" t="s">
        <v>1372</v>
      </c>
      <c r="C1406" t="s">
        <v>1251</v>
      </c>
      <c r="D1406" t="s">
        <v>1179</v>
      </c>
    </row>
    <row r="1407" spans="1:4" hidden="1" x14ac:dyDescent="0.3">
      <c r="A1407" t="s">
        <v>837</v>
      </c>
      <c r="B1407" t="s">
        <v>1372</v>
      </c>
      <c r="C1407" t="s">
        <v>1251</v>
      </c>
      <c r="D1407" t="s">
        <v>1180</v>
      </c>
    </row>
    <row r="1408" spans="1:4" hidden="1" x14ac:dyDescent="0.3">
      <c r="A1408" t="s">
        <v>837</v>
      </c>
      <c r="B1408" t="s">
        <v>1372</v>
      </c>
      <c r="C1408" t="s">
        <v>1251</v>
      </c>
      <c r="D1408" t="s">
        <v>1181</v>
      </c>
    </row>
    <row r="1409" spans="1:4" hidden="1" x14ac:dyDescent="0.3">
      <c r="A1409" t="s">
        <v>837</v>
      </c>
      <c r="B1409" t="s">
        <v>1373</v>
      </c>
      <c r="C1409" t="s">
        <v>61</v>
      </c>
      <c r="D1409" t="s">
        <v>1171</v>
      </c>
    </row>
    <row r="1410" spans="1:4" hidden="1" x14ac:dyDescent="0.3">
      <c r="A1410" t="s">
        <v>837</v>
      </c>
      <c r="B1410" t="s">
        <v>1373</v>
      </c>
      <c r="C1410" t="s">
        <v>61</v>
      </c>
      <c r="D1410" t="s">
        <v>1172</v>
      </c>
    </row>
    <row r="1411" spans="1:4" hidden="1" x14ac:dyDescent="0.3">
      <c r="A1411" t="s">
        <v>837</v>
      </c>
      <c r="B1411" t="s">
        <v>1373</v>
      </c>
      <c r="C1411" t="s">
        <v>61</v>
      </c>
      <c r="D1411" t="s">
        <v>1173</v>
      </c>
    </row>
    <row r="1412" spans="1:4" hidden="1" x14ac:dyDescent="0.3">
      <c r="A1412" t="s">
        <v>837</v>
      </c>
      <c r="B1412" t="s">
        <v>1373</v>
      </c>
      <c r="C1412" t="s">
        <v>61</v>
      </c>
      <c r="D1412" t="s">
        <v>1174</v>
      </c>
    </row>
    <row r="1413" spans="1:4" hidden="1" x14ac:dyDescent="0.3">
      <c r="A1413" t="s">
        <v>837</v>
      </c>
      <c r="B1413" t="s">
        <v>1373</v>
      </c>
      <c r="C1413" t="s">
        <v>61</v>
      </c>
      <c r="D1413" t="s">
        <v>1175</v>
      </c>
    </row>
    <row r="1414" spans="1:4" hidden="1" x14ac:dyDescent="0.3">
      <c r="A1414" t="s">
        <v>837</v>
      </c>
      <c r="B1414" t="s">
        <v>1373</v>
      </c>
      <c r="C1414" t="s">
        <v>61</v>
      </c>
      <c r="D1414" t="s">
        <v>1176</v>
      </c>
    </row>
    <row r="1415" spans="1:4" hidden="1" x14ac:dyDescent="0.3">
      <c r="A1415" t="s">
        <v>837</v>
      </c>
      <c r="B1415" t="s">
        <v>1373</v>
      </c>
      <c r="C1415" t="s">
        <v>61</v>
      </c>
      <c r="D1415" t="s">
        <v>1177</v>
      </c>
    </row>
    <row r="1416" spans="1:4" hidden="1" x14ac:dyDescent="0.3">
      <c r="A1416" t="s">
        <v>837</v>
      </c>
      <c r="B1416" t="s">
        <v>1373</v>
      </c>
      <c r="C1416" t="s">
        <v>61</v>
      </c>
      <c r="D1416" t="s">
        <v>1178</v>
      </c>
    </row>
    <row r="1417" spans="1:4" hidden="1" x14ac:dyDescent="0.3">
      <c r="A1417" t="s">
        <v>837</v>
      </c>
      <c r="B1417" t="s">
        <v>1373</v>
      </c>
      <c r="C1417" t="s">
        <v>61</v>
      </c>
      <c r="D1417" t="s">
        <v>1179</v>
      </c>
    </row>
    <row r="1418" spans="1:4" hidden="1" x14ac:dyDescent="0.3">
      <c r="A1418" t="s">
        <v>837</v>
      </c>
      <c r="B1418" t="s">
        <v>1373</v>
      </c>
      <c r="C1418" t="s">
        <v>61</v>
      </c>
      <c r="D1418" t="s">
        <v>1180</v>
      </c>
    </row>
    <row r="1419" spans="1:4" hidden="1" x14ac:dyDescent="0.3">
      <c r="A1419" t="s">
        <v>837</v>
      </c>
      <c r="B1419" t="s">
        <v>1373</v>
      </c>
      <c r="C1419" t="s">
        <v>61</v>
      </c>
      <c r="D1419" t="s">
        <v>1181</v>
      </c>
    </row>
    <row r="1420" spans="1:4" hidden="1" x14ac:dyDescent="0.3">
      <c r="A1420" t="s">
        <v>837</v>
      </c>
      <c r="B1420" t="s">
        <v>1374</v>
      </c>
      <c r="C1420" t="s">
        <v>61</v>
      </c>
      <c r="D1420" t="s">
        <v>1171</v>
      </c>
    </row>
    <row r="1421" spans="1:4" hidden="1" x14ac:dyDescent="0.3">
      <c r="A1421" t="s">
        <v>837</v>
      </c>
      <c r="B1421" t="s">
        <v>1374</v>
      </c>
      <c r="C1421" t="s">
        <v>61</v>
      </c>
      <c r="D1421" t="s">
        <v>1172</v>
      </c>
    </row>
    <row r="1422" spans="1:4" hidden="1" x14ac:dyDescent="0.3">
      <c r="A1422" t="s">
        <v>837</v>
      </c>
      <c r="B1422" t="s">
        <v>1374</v>
      </c>
      <c r="C1422" t="s">
        <v>61</v>
      </c>
      <c r="D1422" t="s">
        <v>1173</v>
      </c>
    </row>
    <row r="1423" spans="1:4" hidden="1" x14ac:dyDescent="0.3">
      <c r="A1423" t="s">
        <v>837</v>
      </c>
      <c r="B1423" t="s">
        <v>1374</v>
      </c>
      <c r="C1423" t="s">
        <v>61</v>
      </c>
      <c r="D1423" t="s">
        <v>1174</v>
      </c>
    </row>
    <row r="1424" spans="1:4" hidden="1" x14ac:dyDescent="0.3">
      <c r="A1424" t="s">
        <v>837</v>
      </c>
      <c r="B1424" t="s">
        <v>1374</v>
      </c>
      <c r="C1424" t="s">
        <v>61</v>
      </c>
      <c r="D1424" t="s">
        <v>1175</v>
      </c>
    </row>
    <row r="1425" spans="1:4" hidden="1" x14ac:dyDescent="0.3">
      <c r="A1425" t="s">
        <v>837</v>
      </c>
      <c r="B1425" t="s">
        <v>1374</v>
      </c>
      <c r="C1425" t="s">
        <v>61</v>
      </c>
      <c r="D1425" t="s">
        <v>1176</v>
      </c>
    </row>
    <row r="1426" spans="1:4" hidden="1" x14ac:dyDescent="0.3">
      <c r="A1426" t="s">
        <v>837</v>
      </c>
      <c r="B1426" t="s">
        <v>1374</v>
      </c>
      <c r="C1426" t="s">
        <v>61</v>
      </c>
      <c r="D1426" t="s">
        <v>1177</v>
      </c>
    </row>
    <row r="1427" spans="1:4" hidden="1" x14ac:dyDescent="0.3">
      <c r="A1427" t="s">
        <v>837</v>
      </c>
      <c r="B1427" t="s">
        <v>1374</v>
      </c>
      <c r="C1427" t="s">
        <v>61</v>
      </c>
      <c r="D1427" t="s">
        <v>1178</v>
      </c>
    </row>
    <row r="1428" spans="1:4" hidden="1" x14ac:dyDescent="0.3">
      <c r="A1428" t="s">
        <v>837</v>
      </c>
      <c r="B1428" t="s">
        <v>1374</v>
      </c>
      <c r="C1428" t="s">
        <v>61</v>
      </c>
      <c r="D1428" t="s">
        <v>1179</v>
      </c>
    </row>
    <row r="1429" spans="1:4" hidden="1" x14ac:dyDescent="0.3">
      <c r="A1429" t="s">
        <v>837</v>
      </c>
      <c r="B1429" t="s">
        <v>1374</v>
      </c>
      <c r="C1429" t="s">
        <v>61</v>
      </c>
      <c r="D1429" t="s">
        <v>1180</v>
      </c>
    </row>
    <row r="1430" spans="1:4" hidden="1" x14ac:dyDescent="0.3">
      <c r="A1430" t="s">
        <v>837</v>
      </c>
      <c r="B1430" t="s">
        <v>1374</v>
      </c>
      <c r="C1430" t="s">
        <v>61</v>
      </c>
      <c r="D1430" t="s">
        <v>1181</v>
      </c>
    </row>
    <row r="1431" spans="1:4" hidden="1" x14ac:dyDescent="0.3">
      <c r="A1431" t="s">
        <v>837</v>
      </c>
      <c r="B1431" t="s">
        <v>1375</v>
      </c>
      <c r="C1431" t="s">
        <v>61</v>
      </c>
      <c r="D1431" t="s">
        <v>1171</v>
      </c>
    </row>
    <row r="1432" spans="1:4" hidden="1" x14ac:dyDescent="0.3">
      <c r="A1432" t="s">
        <v>837</v>
      </c>
      <c r="B1432" t="s">
        <v>1375</v>
      </c>
      <c r="C1432" t="s">
        <v>61</v>
      </c>
      <c r="D1432" t="s">
        <v>1172</v>
      </c>
    </row>
    <row r="1433" spans="1:4" hidden="1" x14ac:dyDescent="0.3">
      <c r="A1433" t="s">
        <v>837</v>
      </c>
      <c r="B1433" t="s">
        <v>1375</v>
      </c>
      <c r="C1433" t="s">
        <v>61</v>
      </c>
      <c r="D1433" t="s">
        <v>1173</v>
      </c>
    </row>
    <row r="1434" spans="1:4" hidden="1" x14ac:dyDescent="0.3">
      <c r="A1434" t="s">
        <v>837</v>
      </c>
      <c r="B1434" t="s">
        <v>1375</v>
      </c>
      <c r="C1434" t="s">
        <v>61</v>
      </c>
      <c r="D1434" t="s">
        <v>1174</v>
      </c>
    </row>
    <row r="1435" spans="1:4" hidden="1" x14ac:dyDescent="0.3">
      <c r="A1435" t="s">
        <v>837</v>
      </c>
      <c r="B1435" t="s">
        <v>1375</v>
      </c>
      <c r="C1435" t="s">
        <v>61</v>
      </c>
      <c r="D1435" t="s">
        <v>1175</v>
      </c>
    </row>
    <row r="1436" spans="1:4" hidden="1" x14ac:dyDescent="0.3">
      <c r="A1436" t="s">
        <v>837</v>
      </c>
      <c r="B1436" t="s">
        <v>1375</v>
      </c>
      <c r="C1436" t="s">
        <v>61</v>
      </c>
      <c r="D1436" t="s">
        <v>1176</v>
      </c>
    </row>
    <row r="1437" spans="1:4" hidden="1" x14ac:dyDescent="0.3">
      <c r="A1437" t="s">
        <v>837</v>
      </c>
      <c r="B1437" t="s">
        <v>1375</v>
      </c>
      <c r="C1437" t="s">
        <v>61</v>
      </c>
      <c r="D1437" t="s">
        <v>1177</v>
      </c>
    </row>
    <row r="1438" spans="1:4" hidden="1" x14ac:dyDescent="0.3">
      <c r="A1438" t="s">
        <v>837</v>
      </c>
      <c r="B1438" t="s">
        <v>1375</v>
      </c>
      <c r="C1438" t="s">
        <v>61</v>
      </c>
      <c r="D1438" t="s">
        <v>1178</v>
      </c>
    </row>
    <row r="1439" spans="1:4" hidden="1" x14ac:dyDescent="0.3">
      <c r="A1439" t="s">
        <v>837</v>
      </c>
      <c r="B1439" t="s">
        <v>1375</v>
      </c>
      <c r="C1439" t="s">
        <v>61</v>
      </c>
      <c r="D1439" t="s">
        <v>1179</v>
      </c>
    </row>
    <row r="1440" spans="1:4" hidden="1" x14ac:dyDescent="0.3">
      <c r="A1440" t="s">
        <v>837</v>
      </c>
      <c r="B1440" t="s">
        <v>1375</v>
      </c>
      <c r="C1440" t="s">
        <v>61</v>
      </c>
      <c r="D1440" t="s">
        <v>1180</v>
      </c>
    </row>
    <row r="1441" spans="1:7" hidden="1" x14ac:dyDescent="0.3">
      <c r="A1441" t="s">
        <v>837</v>
      </c>
      <c r="B1441" t="s">
        <v>1375</v>
      </c>
      <c r="C1441" t="s">
        <v>61</v>
      </c>
      <c r="D1441" t="s">
        <v>1181</v>
      </c>
    </row>
    <row r="1442" spans="1:7" hidden="1" x14ac:dyDescent="0.3">
      <c r="A1442" t="s">
        <v>460</v>
      </c>
      <c r="B1442" t="s">
        <v>1376</v>
      </c>
      <c r="C1442" t="s">
        <v>1169</v>
      </c>
      <c r="D1442" t="s">
        <v>1170</v>
      </c>
    </row>
    <row r="1443" spans="1:7" hidden="1" x14ac:dyDescent="0.3">
      <c r="A1443" t="s">
        <v>460</v>
      </c>
      <c r="B1443" t="s">
        <v>1376</v>
      </c>
      <c r="C1443" t="s">
        <v>1169</v>
      </c>
      <c r="D1443" t="s">
        <v>1171</v>
      </c>
    </row>
    <row r="1444" spans="1:7" hidden="1" x14ac:dyDescent="0.3">
      <c r="A1444" t="s">
        <v>460</v>
      </c>
      <c r="B1444" t="s">
        <v>1376</v>
      </c>
      <c r="C1444" t="s">
        <v>1169</v>
      </c>
      <c r="D1444" t="s">
        <v>1172</v>
      </c>
    </row>
    <row r="1445" spans="1:7" hidden="1" x14ac:dyDescent="0.3">
      <c r="A1445" t="s">
        <v>460</v>
      </c>
      <c r="B1445" t="s">
        <v>1377</v>
      </c>
      <c r="C1445" t="s">
        <v>1169</v>
      </c>
      <c r="D1445" t="s">
        <v>1170</v>
      </c>
    </row>
    <row r="1446" spans="1:7" hidden="1" x14ac:dyDescent="0.3">
      <c r="A1446" t="s">
        <v>460</v>
      </c>
      <c r="B1446" t="s">
        <v>1377</v>
      </c>
      <c r="C1446" t="s">
        <v>1169</v>
      </c>
      <c r="D1446" t="s">
        <v>1171</v>
      </c>
    </row>
    <row r="1447" spans="1:7" hidden="1" x14ac:dyDescent="0.3">
      <c r="A1447" t="s">
        <v>460</v>
      </c>
      <c r="B1447" t="s">
        <v>1377</v>
      </c>
      <c r="C1447" t="s">
        <v>1169</v>
      </c>
      <c r="D1447" t="s">
        <v>1172</v>
      </c>
    </row>
    <row r="1448" spans="1:7" hidden="1" x14ac:dyDescent="0.3">
      <c r="A1448" t="s">
        <v>460</v>
      </c>
      <c r="B1448" t="s">
        <v>1378</v>
      </c>
      <c r="C1448" t="s">
        <v>1251</v>
      </c>
      <c r="D1448" t="s">
        <v>1170</v>
      </c>
    </row>
    <row r="1449" spans="1:7" hidden="1" x14ac:dyDescent="0.3">
      <c r="A1449" t="s">
        <v>460</v>
      </c>
      <c r="B1449" t="s">
        <v>1378</v>
      </c>
      <c r="C1449" t="s">
        <v>1251</v>
      </c>
      <c r="D1449" t="s">
        <v>1171</v>
      </c>
    </row>
    <row r="1450" spans="1:7" hidden="1" x14ac:dyDescent="0.3">
      <c r="A1450" t="s">
        <v>460</v>
      </c>
      <c r="B1450" t="s">
        <v>1378</v>
      </c>
      <c r="C1450" t="s">
        <v>1251</v>
      </c>
      <c r="D1450" t="s">
        <v>1172</v>
      </c>
    </row>
    <row r="1451" spans="1:7" x14ac:dyDescent="0.3">
      <c r="A1451" t="s">
        <v>460</v>
      </c>
      <c r="B1451" t="s">
        <v>1379</v>
      </c>
      <c r="C1451" t="s">
        <v>54</v>
      </c>
      <c r="D1451" t="s">
        <v>1170</v>
      </c>
      <c r="E1451" s="377">
        <v>74.3</v>
      </c>
      <c r="F1451" s="377">
        <v>74.3</v>
      </c>
      <c r="G1451" s="377">
        <v>0</v>
      </c>
    </row>
    <row r="1452" spans="1:7" x14ac:dyDescent="0.3">
      <c r="A1452" t="s">
        <v>460</v>
      </c>
      <c r="B1452" t="s">
        <v>1379</v>
      </c>
      <c r="C1452" t="s">
        <v>54</v>
      </c>
      <c r="D1452" t="s">
        <v>1171</v>
      </c>
      <c r="E1452" s="377">
        <v>104.12</v>
      </c>
      <c r="F1452" s="377">
        <v>104.12</v>
      </c>
      <c r="G1452" s="377">
        <v>0</v>
      </c>
    </row>
    <row r="1453" spans="1:7" x14ac:dyDescent="0.3">
      <c r="A1453" t="s">
        <v>460</v>
      </c>
      <c r="B1453" t="s">
        <v>1379</v>
      </c>
      <c r="C1453" t="s">
        <v>54</v>
      </c>
      <c r="D1453" t="s">
        <v>1172</v>
      </c>
      <c r="E1453" s="377">
        <v>117.03</v>
      </c>
      <c r="F1453" s="377">
        <v>117.03</v>
      </c>
      <c r="G1453" s="377">
        <v>0</v>
      </c>
    </row>
    <row r="1454" spans="1:7" hidden="1" x14ac:dyDescent="0.3">
      <c r="A1454" t="s">
        <v>460</v>
      </c>
      <c r="B1454" t="s">
        <v>1380</v>
      </c>
      <c r="C1454" t="s">
        <v>61</v>
      </c>
      <c r="D1454" t="s">
        <v>1170</v>
      </c>
    </row>
    <row r="1455" spans="1:7" hidden="1" x14ac:dyDescent="0.3">
      <c r="A1455" t="s">
        <v>460</v>
      </c>
      <c r="B1455" t="s">
        <v>1380</v>
      </c>
      <c r="C1455" t="s">
        <v>61</v>
      </c>
      <c r="D1455" t="s">
        <v>1171</v>
      </c>
    </row>
    <row r="1456" spans="1:7" hidden="1" x14ac:dyDescent="0.3">
      <c r="A1456" t="s">
        <v>460</v>
      </c>
      <c r="B1456" t="s">
        <v>1380</v>
      </c>
      <c r="C1456" t="s">
        <v>61</v>
      </c>
      <c r="D1456" t="s">
        <v>1172</v>
      </c>
    </row>
    <row r="1457" spans="1:4" hidden="1" x14ac:dyDescent="0.3">
      <c r="A1457" t="s">
        <v>460</v>
      </c>
      <c r="B1457" t="s">
        <v>1381</v>
      </c>
      <c r="C1457" t="s">
        <v>61</v>
      </c>
      <c r="D1457" t="s">
        <v>1170</v>
      </c>
    </row>
    <row r="1458" spans="1:4" hidden="1" x14ac:dyDescent="0.3">
      <c r="A1458" t="s">
        <v>460</v>
      </c>
      <c r="B1458" t="s">
        <v>1381</v>
      </c>
      <c r="C1458" t="s">
        <v>61</v>
      </c>
      <c r="D1458" t="s">
        <v>1171</v>
      </c>
    </row>
    <row r="1459" spans="1:4" hidden="1" x14ac:dyDescent="0.3">
      <c r="A1459" t="s">
        <v>460</v>
      </c>
      <c r="B1459" t="s">
        <v>1381</v>
      </c>
      <c r="C1459" t="s">
        <v>61</v>
      </c>
      <c r="D1459" t="s">
        <v>1172</v>
      </c>
    </row>
    <row r="1460" spans="1:4" hidden="1" x14ac:dyDescent="0.3">
      <c r="A1460" t="s">
        <v>460</v>
      </c>
      <c r="B1460" t="s">
        <v>1382</v>
      </c>
      <c r="C1460" t="s">
        <v>61</v>
      </c>
      <c r="D1460" t="s">
        <v>1170</v>
      </c>
    </row>
    <row r="1461" spans="1:4" hidden="1" x14ac:dyDescent="0.3">
      <c r="A1461" t="s">
        <v>460</v>
      </c>
      <c r="B1461" t="s">
        <v>1382</v>
      </c>
      <c r="C1461" t="s">
        <v>61</v>
      </c>
      <c r="D1461" t="s">
        <v>1171</v>
      </c>
    </row>
    <row r="1462" spans="1:4" hidden="1" x14ac:dyDescent="0.3">
      <c r="A1462" t="s">
        <v>460</v>
      </c>
      <c r="B1462" t="s">
        <v>1382</v>
      </c>
      <c r="C1462" t="s">
        <v>61</v>
      </c>
      <c r="D1462" t="s">
        <v>1172</v>
      </c>
    </row>
  </sheetData>
  <autoFilter ref="A2:K1462" xr:uid="{01737E4A-3263-4AD0-8B06-C7CDEE7B8C13}">
    <filterColumn colId="2">
      <filters>
        <filter val="Water"/>
      </filters>
    </filterColumn>
  </autoFilter>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D54EC-4FAB-4EFA-85C7-44E401F4E748}">
  <dimension ref="A1:E152"/>
  <sheetViews>
    <sheetView workbookViewId="0"/>
  </sheetViews>
  <sheetFormatPr defaultRowHeight="14.4" x14ac:dyDescent="0.3"/>
  <cols>
    <col min="1" max="1" width="18.77734375" bestFit="1" customWidth="1"/>
    <col min="2" max="2" width="48.5546875" bestFit="1" customWidth="1"/>
    <col min="3" max="3" width="9.77734375" bestFit="1" customWidth="1"/>
    <col min="4" max="4" width="11.109375" bestFit="1" customWidth="1"/>
    <col min="5" max="5" width="45.44140625" bestFit="1" customWidth="1"/>
  </cols>
  <sheetData>
    <row r="1" spans="1:5" x14ac:dyDescent="0.3">
      <c r="A1" s="68" t="s">
        <v>1383</v>
      </c>
    </row>
    <row r="3" spans="1:5" x14ac:dyDescent="0.3">
      <c r="A3" t="s">
        <v>959</v>
      </c>
      <c r="B3" t="s">
        <v>1166</v>
      </c>
      <c r="C3" t="s">
        <v>1167</v>
      </c>
      <c r="D3" t="s">
        <v>325</v>
      </c>
      <c r="E3" t="s">
        <v>1242</v>
      </c>
    </row>
    <row r="4" spans="1:5" x14ac:dyDescent="0.3">
      <c r="A4" t="s">
        <v>502</v>
      </c>
      <c r="B4" t="s">
        <v>1301</v>
      </c>
      <c r="C4" t="s">
        <v>61</v>
      </c>
      <c r="D4" t="s">
        <v>1170</v>
      </c>
    </row>
    <row r="5" spans="1:5" x14ac:dyDescent="0.3">
      <c r="A5" t="s">
        <v>502</v>
      </c>
      <c r="B5" t="s">
        <v>1300</v>
      </c>
      <c r="C5" t="s">
        <v>61</v>
      </c>
      <c r="D5" t="s">
        <v>1170</v>
      </c>
    </row>
    <row r="6" spans="1:5" x14ac:dyDescent="0.3">
      <c r="A6" t="s">
        <v>502</v>
      </c>
      <c r="B6" t="s">
        <v>1299</v>
      </c>
      <c r="C6" t="s">
        <v>61</v>
      </c>
      <c r="D6" t="s">
        <v>1170</v>
      </c>
    </row>
    <row r="7" spans="1:5" x14ac:dyDescent="0.3">
      <c r="A7" t="s">
        <v>502</v>
      </c>
      <c r="B7" t="s">
        <v>1298</v>
      </c>
      <c r="C7" t="s">
        <v>1169</v>
      </c>
      <c r="D7" t="s">
        <v>1170</v>
      </c>
    </row>
    <row r="8" spans="1:5" x14ac:dyDescent="0.3">
      <c r="A8" t="s">
        <v>502</v>
      </c>
      <c r="B8" t="s">
        <v>1297</v>
      </c>
      <c r="C8" t="s">
        <v>1169</v>
      </c>
      <c r="D8" t="s">
        <v>1170</v>
      </c>
    </row>
    <row r="9" spans="1:5" x14ac:dyDescent="0.3">
      <c r="A9" t="s">
        <v>502</v>
      </c>
      <c r="B9" t="s">
        <v>1296</v>
      </c>
      <c r="C9" t="s">
        <v>1169</v>
      </c>
      <c r="D9" t="s">
        <v>1170</v>
      </c>
    </row>
    <row r="10" spans="1:5" x14ac:dyDescent="0.3">
      <c r="A10" t="s">
        <v>502</v>
      </c>
      <c r="B10" t="s">
        <v>1295</v>
      </c>
      <c r="C10" t="s">
        <v>1169</v>
      </c>
      <c r="D10" t="s">
        <v>1170</v>
      </c>
    </row>
    <row r="11" spans="1:5" x14ac:dyDescent="0.3">
      <c r="A11" t="s">
        <v>502</v>
      </c>
      <c r="B11" t="s">
        <v>1294</v>
      </c>
      <c r="C11" t="s">
        <v>1169</v>
      </c>
      <c r="D11" t="s">
        <v>1170</v>
      </c>
    </row>
    <row r="12" spans="1:5" x14ac:dyDescent="0.3">
      <c r="A12" t="s">
        <v>502</v>
      </c>
      <c r="B12" t="s">
        <v>1293</v>
      </c>
      <c r="C12" t="s">
        <v>1169</v>
      </c>
      <c r="D12" t="s">
        <v>1170</v>
      </c>
    </row>
    <row r="13" spans="1:5" x14ac:dyDescent="0.3">
      <c r="A13" t="s">
        <v>502</v>
      </c>
      <c r="B13" t="s">
        <v>1292</v>
      </c>
      <c r="C13" t="s">
        <v>1169</v>
      </c>
      <c r="D13" t="s">
        <v>1170</v>
      </c>
    </row>
    <row r="14" spans="1:5" x14ac:dyDescent="0.3">
      <c r="A14" t="s">
        <v>502</v>
      </c>
      <c r="B14" t="s">
        <v>1291</v>
      </c>
      <c r="C14" t="s">
        <v>54</v>
      </c>
      <c r="D14" t="s">
        <v>1170</v>
      </c>
      <c r="E14">
        <v>29.711474946193</v>
      </c>
    </row>
    <row r="15" spans="1:5" x14ac:dyDescent="0.3">
      <c r="A15" t="s">
        <v>502</v>
      </c>
      <c r="B15" t="s">
        <v>1290</v>
      </c>
      <c r="C15" t="s">
        <v>1251</v>
      </c>
      <c r="D15" t="s">
        <v>1170</v>
      </c>
    </row>
    <row r="16" spans="1:5" x14ac:dyDescent="0.3">
      <c r="A16" t="s">
        <v>502</v>
      </c>
      <c r="B16" t="s">
        <v>1289</v>
      </c>
      <c r="C16" t="s">
        <v>1169</v>
      </c>
      <c r="D16" t="s">
        <v>1170</v>
      </c>
    </row>
    <row r="17" spans="1:5" x14ac:dyDescent="0.3">
      <c r="A17" t="s">
        <v>502</v>
      </c>
      <c r="B17" t="s">
        <v>1301</v>
      </c>
      <c r="C17" t="s">
        <v>61</v>
      </c>
      <c r="D17" t="s">
        <v>1171</v>
      </c>
    </row>
    <row r="18" spans="1:5" x14ac:dyDescent="0.3">
      <c r="A18" t="s">
        <v>502</v>
      </c>
      <c r="B18" t="s">
        <v>1300</v>
      </c>
      <c r="C18" t="s">
        <v>61</v>
      </c>
      <c r="D18" t="s">
        <v>1171</v>
      </c>
    </row>
    <row r="19" spans="1:5" x14ac:dyDescent="0.3">
      <c r="A19" t="s">
        <v>502</v>
      </c>
      <c r="B19" t="s">
        <v>1299</v>
      </c>
      <c r="C19" t="s">
        <v>61</v>
      </c>
      <c r="D19" t="s">
        <v>1171</v>
      </c>
    </row>
    <row r="20" spans="1:5" x14ac:dyDescent="0.3">
      <c r="A20" t="s">
        <v>502</v>
      </c>
      <c r="B20" t="s">
        <v>1298</v>
      </c>
      <c r="C20" t="s">
        <v>1169</v>
      </c>
      <c r="D20" t="s">
        <v>1171</v>
      </c>
    </row>
    <row r="21" spans="1:5" x14ac:dyDescent="0.3">
      <c r="A21" t="s">
        <v>502</v>
      </c>
      <c r="B21" t="s">
        <v>1297</v>
      </c>
      <c r="C21" t="s">
        <v>1169</v>
      </c>
      <c r="D21" t="s">
        <v>1171</v>
      </c>
    </row>
    <row r="22" spans="1:5" x14ac:dyDescent="0.3">
      <c r="A22" t="s">
        <v>502</v>
      </c>
      <c r="B22" t="s">
        <v>1296</v>
      </c>
      <c r="C22" t="s">
        <v>1169</v>
      </c>
      <c r="D22" t="s">
        <v>1171</v>
      </c>
    </row>
    <row r="23" spans="1:5" x14ac:dyDescent="0.3">
      <c r="A23" t="s">
        <v>502</v>
      </c>
      <c r="B23" t="s">
        <v>1295</v>
      </c>
      <c r="C23" t="s">
        <v>1169</v>
      </c>
      <c r="D23" t="s">
        <v>1171</v>
      </c>
    </row>
    <row r="24" spans="1:5" x14ac:dyDescent="0.3">
      <c r="A24" t="s">
        <v>502</v>
      </c>
      <c r="B24" t="s">
        <v>1294</v>
      </c>
      <c r="C24" t="s">
        <v>1169</v>
      </c>
      <c r="D24" t="s">
        <v>1171</v>
      </c>
    </row>
    <row r="25" spans="1:5" x14ac:dyDescent="0.3">
      <c r="A25" t="s">
        <v>502</v>
      </c>
      <c r="B25" t="s">
        <v>1293</v>
      </c>
      <c r="C25" t="s">
        <v>1169</v>
      </c>
      <c r="D25" t="s">
        <v>1171</v>
      </c>
    </row>
    <row r="26" spans="1:5" x14ac:dyDescent="0.3">
      <c r="A26" t="s">
        <v>502</v>
      </c>
      <c r="B26" t="s">
        <v>1292</v>
      </c>
      <c r="C26" t="s">
        <v>1169</v>
      </c>
      <c r="D26" t="s">
        <v>1171</v>
      </c>
    </row>
    <row r="27" spans="1:5" x14ac:dyDescent="0.3">
      <c r="A27" t="s">
        <v>502</v>
      </c>
      <c r="B27" t="s">
        <v>1291</v>
      </c>
      <c r="C27" t="s">
        <v>54</v>
      </c>
      <c r="D27" t="s">
        <v>1171</v>
      </c>
      <c r="E27">
        <v>28.173140936988698</v>
      </c>
    </row>
    <row r="28" spans="1:5" x14ac:dyDescent="0.3">
      <c r="A28" t="s">
        <v>502</v>
      </c>
      <c r="B28" t="s">
        <v>1290</v>
      </c>
      <c r="C28" t="s">
        <v>1251</v>
      </c>
      <c r="D28" t="s">
        <v>1171</v>
      </c>
    </row>
    <row r="29" spans="1:5" x14ac:dyDescent="0.3">
      <c r="A29" t="s">
        <v>502</v>
      </c>
      <c r="B29" t="s">
        <v>1289</v>
      </c>
      <c r="C29" t="s">
        <v>1169</v>
      </c>
      <c r="D29" t="s">
        <v>1171</v>
      </c>
    </row>
    <row r="30" spans="1:5" x14ac:dyDescent="0.3">
      <c r="A30" t="s">
        <v>502</v>
      </c>
      <c r="B30" t="s">
        <v>1301</v>
      </c>
      <c r="C30" t="s">
        <v>61</v>
      </c>
      <c r="D30" t="s">
        <v>1172</v>
      </c>
    </row>
    <row r="31" spans="1:5" x14ac:dyDescent="0.3">
      <c r="A31" t="s">
        <v>502</v>
      </c>
      <c r="B31" t="s">
        <v>1300</v>
      </c>
      <c r="C31" t="s">
        <v>61</v>
      </c>
      <c r="D31" t="s">
        <v>1172</v>
      </c>
    </row>
    <row r="32" spans="1:5" x14ac:dyDescent="0.3">
      <c r="A32" t="s">
        <v>502</v>
      </c>
      <c r="B32" t="s">
        <v>1299</v>
      </c>
      <c r="C32" t="s">
        <v>61</v>
      </c>
      <c r="D32" t="s">
        <v>1172</v>
      </c>
    </row>
    <row r="33" spans="1:5" x14ac:dyDescent="0.3">
      <c r="A33" t="s">
        <v>502</v>
      </c>
      <c r="B33" t="s">
        <v>1298</v>
      </c>
      <c r="C33" t="s">
        <v>1169</v>
      </c>
      <c r="D33" t="s">
        <v>1172</v>
      </c>
    </row>
    <row r="34" spans="1:5" x14ac:dyDescent="0.3">
      <c r="A34" t="s">
        <v>502</v>
      </c>
      <c r="B34" t="s">
        <v>1297</v>
      </c>
      <c r="C34" t="s">
        <v>1169</v>
      </c>
      <c r="D34" t="s">
        <v>1172</v>
      </c>
    </row>
    <row r="35" spans="1:5" x14ac:dyDescent="0.3">
      <c r="A35" t="s">
        <v>502</v>
      </c>
      <c r="B35" t="s">
        <v>1296</v>
      </c>
      <c r="C35" t="s">
        <v>1169</v>
      </c>
      <c r="D35" t="s">
        <v>1172</v>
      </c>
    </row>
    <row r="36" spans="1:5" x14ac:dyDescent="0.3">
      <c r="A36" t="s">
        <v>502</v>
      </c>
      <c r="B36" t="s">
        <v>1295</v>
      </c>
      <c r="C36" t="s">
        <v>1169</v>
      </c>
      <c r="D36" t="s">
        <v>1172</v>
      </c>
    </row>
    <row r="37" spans="1:5" x14ac:dyDescent="0.3">
      <c r="A37" t="s">
        <v>502</v>
      </c>
      <c r="B37" t="s">
        <v>1294</v>
      </c>
      <c r="C37" t="s">
        <v>1169</v>
      </c>
      <c r="D37" t="s">
        <v>1172</v>
      </c>
    </row>
    <row r="38" spans="1:5" x14ac:dyDescent="0.3">
      <c r="A38" t="s">
        <v>502</v>
      </c>
      <c r="B38" t="s">
        <v>1293</v>
      </c>
      <c r="C38" t="s">
        <v>1169</v>
      </c>
      <c r="D38" t="s">
        <v>1172</v>
      </c>
    </row>
    <row r="39" spans="1:5" x14ac:dyDescent="0.3">
      <c r="A39" t="s">
        <v>502</v>
      </c>
      <c r="B39" t="s">
        <v>1292</v>
      </c>
      <c r="C39" t="s">
        <v>1169</v>
      </c>
      <c r="D39" t="s">
        <v>1172</v>
      </c>
    </row>
    <row r="40" spans="1:5" x14ac:dyDescent="0.3">
      <c r="A40" t="s">
        <v>502</v>
      </c>
      <c r="B40" t="s">
        <v>1291</v>
      </c>
      <c r="C40" t="s">
        <v>54</v>
      </c>
      <c r="D40" t="s">
        <v>1172</v>
      </c>
      <c r="E40">
        <v>28.187727347117399</v>
      </c>
    </row>
    <row r="41" spans="1:5" x14ac:dyDescent="0.3">
      <c r="A41" t="s">
        <v>502</v>
      </c>
      <c r="B41" t="s">
        <v>1290</v>
      </c>
      <c r="C41" t="s">
        <v>1251</v>
      </c>
      <c r="D41" t="s">
        <v>1172</v>
      </c>
    </row>
    <row r="42" spans="1:5" x14ac:dyDescent="0.3">
      <c r="A42" t="s">
        <v>502</v>
      </c>
      <c r="B42" t="s">
        <v>1289</v>
      </c>
      <c r="C42" t="s">
        <v>1169</v>
      </c>
      <c r="D42" t="s">
        <v>1172</v>
      </c>
    </row>
    <row r="43" spans="1:5" x14ac:dyDescent="0.3">
      <c r="A43" t="s">
        <v>502</v>
      </c>
      <c r="B43" t="s">
        <v>1301</v>
      </c>
      <c r="C43" t="s">
        <v>61</v>
      </c>
      <c r="D43" t="s">
        <v>1173</v>
      </c>
    </row>
    <row r="44" spans="1:5" x14ac:dyDescent="0.3">
      <c r="A44" t="s">
        <v>502</v>
      </c>
      <c r="B44" t="s">
        <v>1300</v>
      </c>
      <c r="C44" t="s">
        <v>61</v>
      </c>
      <c r="D44" t="s">
        <v>1173</v>
      </c>
    </row>
    <row r="45" spans="1:5" x14ac:dyDescent="0.3">
      <c r="A45" t="s">
        <v>502</v>
      </c>
      <c r="B45" t="s">
        <v>1299</v>
      </c>
      <c r="C45" t="s">
        <v>61</v>
      </c>
      <c r="D45" t="s">
        <v>1173</v>
      </c>
    </row>
    <row r="46" spans="1:5" x14ac:dyDescent="0.3">
      <c r="A46" t="s">
        <v>502</v>
      </c>
      <c r="B46" t="s">
        <v>1298</v>
      </c>
      <c r="C46" t="s">
        <v>1169</v>
      </c>
      <c r="D46" t="s">
        <v>1173</v>
      </c>
    </row>
    <row r="47" spans="1:5" x14ac:dyDescent="0.3">
      <c r="A47" t="s">
        <v>502</v>
      </c>
      <c r="B47" t="s">
        <v>1297</v>
      </c>
      <c r="C47" t="s">
        <v>1169</v>
      </c>
      <c r="D47" t="s">
        <v>1173</v>
      </c>
    </row>
    <row r="48" spans="1:5" x14ac:dyDescent="0.3">
      <c r="A48" t="s">
        <v>502</v>
      </c>
      <c r="B48" t="s">
        <v>1296</v>
      </c>
      <c r="C48" t="s">
        <v>1169</v>
      </c>
      <c r="D48" t="s">
        <v>1173</v>
      </c>
    </row>
    <row r="49" spans="1:5" x14ac:dyDescent="0.3">
      <c r="A49" t="s">
        <v>502</v>
      </c>
      <c r="B49" t="s">
        <v>1295</v>
      </c>
      <c r="C49" t="s">
        <v>1169</v>
      </c>
      <c r="D49" t="s">
        <v>1173</v>
      </c>
    </row>
    <row r="50" spans="1:5" x14ac:dyDescent="0.3">
      <c r="A50" t="s">
        <v>502</v>
      </c>
      <c r="B50" t="s">
        <v>1294</v>
      </c>
      <c r="C50" t="s">
        <v>1169</v>
      </c>
      <c r="D50" t="s">
        <v>1173</v>
      </c>
    </row>
    <row r="51" spans="1:5" x14ac:dyDescent="0.3">
      <c r="A51" t="s">
        <v>502</v>
      </c>
      <c r="B51" t="s">
        <v>1293</v>
      </c>
      <c r="C51" t="s">
        <v>1169</v>
      </c>
      <c r="D51" t="s">
        <v>1173</v>
      </c>
    </row>
    <row r="52" spans="1:5" x14ac:dyDescent="0.3">
      <c r="A52" t="s">
        <v>502</v>
      </c>
      <c r="B52" t="s">
        <v>1292</v>
      </c>
      <c r="C52" t="s">
        <v>1169</v>
      </c>
      <c r="D52" t="s">
        <v>1173</v>
      </c>
    </row>
    <row r="53" spans="1:5" x14ac:dyDescent="0.3">
      <c r="A53" t="s">
        <v>502</v>
      </c>
      <c r="B53" t="s">
        <v>1291</v>
      </c>
      <c r="C53" t="s">
        <v>54</v>
      </c>
      <c r="D53" t="s">
        <v>1173</v>
      </c>
      <c r="E53">
        <v>29.862675576266799</v>
      </c>
    </row>
    <row r="54" spans="1:5" x14ac:dyDescent="0.3">
      <c r="A54" t="s">
        <v>502</v>
      </c>
      <c r="B54" t="s">
        <v>1290</v>
      </c>
      <c r="C54" t="s">
        <v>1251</v>
      </c>
      <c r="D54" t="s">
        <v>1173</v>
      </c>
    </row>
    <row r="55" spans="1:5" x14ac:dyDescent="0.3">
      <c r="A55" t="s">
        <v>502</v>
      </c>
      <c r="B55" t="s">
        <v>1289</v>
      </c>
      <c r="C55" t="s">
        <v>1169</v>
      </c>
      <c r="D55" t="s">
        <v>1173</v>
      </c>
    </row>
    <row r="56" spans="1:5" x14ac:dyDescent="0.3">
      <c r="A56" t="s">
        <v>502</v>
      </c>
      <c r="B56" t="s">
        <v>1301</v>
      </c>
      <c r="C56" t="s">
        <v>61</v>
      </c>
      <c r="D56" t="s">
        <v>1174</v>
      </c>
    </row>
    <row r="57" spans="1:5" x14ac:dyDescent="0.3">
      <c r="A57" t="s">
        <v>502</v>
      </c>
      <c r="B57" t="s">
        <v>1300</v>
      </c>
      <c r="C57" t="s">
        <v>61</v>
      </c>
      <c r="D57" t="s">
        <v>1174</v>
      </c>
    </row>
    <row r="58" spans="1:5" x14ac:dyDescent="0.3">
      <c r="A58" t="s">
        <v>502</v>
      </c>
      <c r="B58" t="s">
        <v>1299</v>
      </c>
      <c r="C58" t="s">
        <v>61</v>
      </c>
      <c r="D58" t="s">
        <v>1174</v>
      </c>
    </row>
    <row r="59" spans="1:5" x14ac:dyDescent="0.3">
      <c r="A59" t="s">
        <v>502</v>
      </c>
      <c r="B59" t="s">
        <v>1298</v>
      </c>
      <c r="C59" t="s">
        <v>1169</v>
      </c>
      <c r="D59" t="s">
        <v>1174</v>
      </c>
    </row>
    <row r="60" spans="1:5" x14ac:dyDescent="0.3">
      <c r="A60" t="s">
        <v>502</v>
      </c>
      <c r="B60" t="s">
        <v>1297</v>
      </c>
      <c r="C60" t="s">
        <v>1169</v>
      </c>
      <c r="D60" t="s">
        <v>1174</v>
      </c>
    </row>
    <row r="61" spans="1:5" x14ac:dyDescent="0.3">
      <c r="A61" t="s">
        <v>502</v>
      </c>
      <c r="B61" t="s">
        <v>1296</v>
      </c>
      <c r="C61" t="s">
        <v>1169</v>
      </c>
      <c r="D61" t="s">
        <v>1174</v>
      </c>
    </row>
    <row r="62" spans="1:5" x14ac:dyDescent="0.3">
      <c r="A62" t="s">
        <v>502</v>
      </c>
      <c r="B62" t="s">
        <v>1295</v>
      </c>
      <c r="C62" t="s">
        <v>1169</v>
      </c>
      <c r="D62" t="s">
        <v>1174</v>
      </c>
    </row>
    <row r="63" spans="1:5" x14ac:dyDescent="0.3">
      <c r="A63" t="s">
        <v>502</v>
      </c>
      <c r="B63" t="s">
        <v>1294</v>
      </c>
      <c r="C63" t="s">
        <v>1169</v>
      </c>
      <c r="D63" t="s">
        <v>1174</v>
      </c>
    </row>
    <row r="64" spans="1:5" x14ac:dyDescent="0.3">
      <c r="A64" t="s">
        <v>502</v>
      </c>
      <c r="B64" t="s">
        <v>1293</v>
      </c>
      <c r="C64" t="s">
        <v>1169</v>
      </c>
      <c r="D64" t="s">
        <v>1174</v>
      </c>
    </row>
    <row r="65" spans="1:5" x14ac:dyDescent="0.3">
      <c r="A65" t="s">
        <v>502</v>
      </c>
      <c r="B65" t="s">
        <v>1292</v>
      </c>
      <c r="C65" t="s">
        <v>1169</v>
      </c>
      <c r="D65" t="s">
        <v>1174</v>
      </c>
    </row>
    <row r="66" spans="1:5" x14ac:dyDescent="0.3">
      <c r="A66" t="s">
        <v>502</v>
      </c>
      <c r="B66" t="s">
        <v>1291</v>
      </c>
      <c r="C66" t="s">
        <v>54</v>
      </c>
      <c r="D66" t="s">
        <v>1174</v>
      </c>
      <c r="E66">
        <v>56.217849982126701</v>
      </c>
    </row>
    <row r="67" spans="1:5" x14ac:dyDescent="0.3">
      <c r="A67" t="s">
        <v>502</v>
      </c>
      <c r="B67" t="s">
        <v>1290</v>
      </c>
      <c r="C67" t="s">
        <v>1251</v>
      </c>
      <c r="D67" t="s">
        <v>1174</v>
      </c>
    </row>
    <row r="68" spans="1:5" x14ac:dyDescent="0.3">
      <c r="A68" t="s">
        <v>502</v>
      </c>
      <c r="B68" t="s">
        <v>1289</v>
      </c>
      <c r="C68" t="s">
        <v>1169</v>
      </c>
      <c r="D68" t="s">
        <v>1174</v>
      </c>
    </row>
    <row r="69" spans="1:5" x14ac:dyDescent="0.3">
      <c r="A69" t="s">
        <v>502</v>
      </c>
      <c r="B69" t="s">
        <v>1301</v>
      </c>
      <c r="C69" t="s">
        <v>61</v>
      </c>
      <c r="D69" t="s">
        <v>1175</v>
      </c>
    </row>
    <row r="70" spans="1:5" x14ac:dyDescent="0.3">
      <c r="A70" t="s">
        <v>502</v>
      </c>
      <c r="B70" t="s">
        <v>1300</v>
      </c>
      <c r="C70" t="s">
        <v>61</v>
      </c>
      <c r="D70" t="s">
        <v>1175</v>
      </c>
    </row>
    <row r="71" spans="1:5" x14ac:dyDescent="0.3">
      <c r="A71" t="s">
        <v>502</v>
      </c>
      <c r="B71" t="s">
        <v>1299</v>
      </c>
      <c r="C71" t="s">
        <v>61</v>
      </c>
      <c r="D71" t="s">
        <v>1175</v>
      </c>
    </row>
    <row r="72" spans="1:5" x14ac:dyDescent="0.3">
      <c r="A72" t="s">
        <v>502</v>
      </c>
      <c r="B72" t="s">
        <v>1298</v>
      </c>
      <c r="C72" t="s">
        <v>1169</v>
      </c>
      <c r="D72" t="s">
        <v>1175</v>
      </c>
    </row>
    <row r="73" spans="1:5" x14ac:dyDescent="0.3">
      <c r="A73" t="s">
        <v>502</v>
      </c>
      <c r="B73" t="s">
        <v>1297</v>
      </c>
      <c r="C73" t="s">
        <v>1169</v>
      </c>
      <c r="D73" t="s">
        <v>1175</v>
      </c>
    </row>
    <row r="74" spans="1:5" x14ac:dyDescent="0.3">
      <c r="A74" t="s">
        <v>502</v>
      </c>
      <c r="B74" t="s">
        <v>1296</v>
      </c>
      <c r="C74" t="s">
        <v>1169</v>
      </c>
      <c r="D74" t="s">
        <v>1175</v>
      </c>
    </row>
    <row r="75" spans="1:5" x14ac:dyDescent="0.3">
      <c r="A75" t="s">
        <v>502</v>
      </c>
      <c r="B75" t="s">
        <v>1295</v>
      </c>
      <c r="C75" t="s">
        <v>1169</v>
      </c>
      <c r="D75" t="s">
        <v>1175</v>
      </c>
    </row>
    <row r="76" spans="1:5" x14ac:dyDescent="0.3">
      <c r="A76" t="s">
        <v>502</v>
      </c>
      <c r="B76" t="s">
        <v>1294</v>
      </c>
      <c r="C76" t="s">
        <v>1169</v>
      </c>
      <c r="D76" t="s">
        <v>1175</v>
      </c>
    </row>
    <row r="77" spans="1:5" x14ac:dyDescent="0.3">
      <c r="A77" t="s">
        <v>502</v>
      </c>
      <c r="B77" t="s">
        <v>1293</v>
      </c>
      <c r="C77" t="s">
        <v>1169</v>
      </c>
      <c r="D77" t="s">
        <v>1175</v>
      </c>
    </row>
    <row r="78" spans="1:5" x14ac:dyDescent="0.3">
      <c r="A78" t="s">
        <v>502</v>
      </c>
      <c r="B78" t="s">
        <v>1292</v>
      </c>
      <c r="C78" t="s">
        <v>1169</v>
      </c>
      <c r="D78" t="s">
        <v>1175</v>
      </c>
    </row>
    <row r="79" spans="1:5" x14ac:dyDescent="0.3">
      <c r="A79" t="s">
        <v>502</v>
      </c>
      <c r="B79" t="s">
        <v>1291</v>
      </c>
      <c r="C79" t="s">
        <v>54</v>
      </c>
      <c r="D79" t="s">
        <v>1175</v>
      </c>
      <c r="E79">
        <v>29.5513799807715</v>
      </c>
    </row>
    <row r="80" spans="1:5" x14ac:dyDescent="0.3">
      <c r="A80" t="s">
        <v>502</v>
      </c>
      <c r="B80" t="s">
        <v>1290</v>
      </c>
      <c r="C80" t="s">
        <v>1251</v>
      </c>
      <c r="D80" t="s">
        <v>1175</v>
      </c>
    </row>
    <row r="81" spans="1:5" x14ac:dyDescent="0.3">
      <c r="A81" t="s">
        <v>502</v>
      </c>
      <c r="B81" t="s">
        <v>1289</v>
      </c>
      <c r="C81" t="s">
        <v>1169</v>
      </c>
      <c r="D81" t="s">
        <v>1175</v>
      </c>
    </row>
    <row r="82" spans="1:5" x14ac:dyDescent="0.3">
      <c r="A82" t="s">
        <v>502</v>
      </c>
      <c r="B82" t="s">
        <v>1301</v>
      </c>
      <c r="C82" t="s">
        <v>61</v>
      </c>
      <c r="D82" t="s">
        <v>1176</v>
      </c>
    </row>
    <row r="83" spans="1:5" x14ac:dyDescent="0.3">
      <c r="A83" t="s">
        <v>502</v>
      </c>
      <c r="B83" t="s">
        <v>1300</v>
      </c>
      <c r="C83" t="s">
        <v>61</v>
      </c>
      <c r="D83" t="s">
        <v>1176</v>
      </c>
    </row>
    <row r="84" spans="1:5" x14ac:dyDescent="0.3">
      <c r="A84" t="s">
        <v>502</v>
      </c>
      <c r="B84" t="s">
        <v>1299</v>
      </c>
      <c r="C84" t="s">
        <v>61</v>
      </c>
      <c r="D84" t="s">
        <v>1176</v>
      </c>
    </row>
    <row r="85" spans="1:5" x14ac:dyDescent="0.3">
      <c r="A85" t="s">
        <v>502</v>
      </c>
      <c r="B85" t="s">
        <v>1298</v>
      </c>
      <c r="C85" t="s">
        <v>1169</v>
      </c>
      <c r="D85" t="s">
        <v>1176</v>
      </c>
    </row>
    <row r="86" spans="1:5" x14ac:dyDescent="0.3">
      <c r="A86" t="s">
        <v>502</v>
      </c>
      <c r="B86" t="s">
        <v>1297</v>
      </c>
      <c r="C86" t="s">
        <v>1169</v>
      </c>
      <c r="D86" t="s">
        <v>1176</v>
      </c>
    </row>
    <row r="87" spans="1:5" x14ac:dyDescent="0.3">
      <c r="A87" t="s">
        <v>502</v>
      </c>
      <c r="B87" t="s">
        <v>1296</v>
      </c>
      <c r="C87" t="s">
        <v>1169</v>
      </c>
      <c r="D87" t="s">
        <v>1176</v>
      </c>
    </row>
    <row r="88" spans="1:5" x14ac:dyDescent="0.3">
      <c r="A88" t="s">
        <v>502</v>
      </c>
      <c r="B88" t="s">
        <v>1295</v>
      </c>
      <c r="C88" t="s">
        <v>1169</v>
      </c>
      <c r="D88" t="s">
        <v>1176</v>
      </c>
    </row>
    <row r="89" spans="1:5" x14ac:dyDescent="0.3">
      <c r="A89" t="s">
        <v>502</v>
      </c>
      <c r="B89" t="s">
        <v>1294</v>
      </c>
      <c r="C89" t="s">
        <v>1169</v>
      </c>
      <c r="D89" t="s">
        <v>1176</v>
      </c>
    </row>
    <row r="90" spans="1:5" x14ac:dyDescent="0.3">
      <c r="A90" t="s">
        <v>502</v>
      </c>
      <c r="B90" t="s">
        <v>1293</v>
      </c>
      <c r="C90" t="s">
        <v>1169</v>
      </c>
      <c r="D90" t="s">
        <v>1176</v>
      </c>
    </row>
    <row r="91" spans="1:5" x14ac:dyDescent="0.3">
      <c r="A91" t="s">
        <v>502</v>
      </c>
      <c r="B91" t="s">
        <v>1291</v>
      </c>
      <c r="C91" t="s">
        <v>54</v>
      </c>
      <c r="D91" t="s">
        <v>1176</v>
      </c>
      <c r="E91">
        <v>29.168575286802898</v>
      </c>
    </row>
    <row r="92" spans="1:5" x14ac:dyDescent="0.3">
      <c r="A92" t="s">
        <v>502</v>
      </c>
      <c r="B92" t="s">
        <v>1290</v>
      </c>
      <c r="C92" t="s">
        <v>1251</v>
      </c>
      <c r="D92" t="s">
        <v>1176</v>
      </c>
    </row>
    <row r="93" spans="1:5" x14ac:dyDescent="0.3">
      <c r="A93" t="s">
        <v>502</v>
      </c>
      <c r="B93" t="s">
        <v>1289</v>
      </c>
      <c r="C93" t="s">
        <v>1169</v>
      </c>
      <c r="D93" t="s">
        <v>1176</v>
      </c>
    </row>
    <row r="94" spans="1:5" x14ac:dyDescent="0.3">
      <c r="A94" t="s">
        <v>502</v>
      </c>
      <c r="B94" t="s">
        <v>1301</v>
      </c>
      <c r="C94" t="s">
        <v>61</v>
      </c>
      <c r="D94" t="s">
        <v>1177</v>
      </c>
    </row>
    <row r="95" spans="1:5" x14ac:dyDescent="0.3">
      <c r="A95" t="s">
        <v>502</v>
      </c>
      <c r="B95" t="s">
        <v>1300</v>
      </c>
      <c r="C95" t="s">
        <v>61</v>
      </c>
      <c r="D95" t="s">
        <v>1177</v>
      </c>
    </row>
    <row r="96" spans="1:5" x14ac:dyDescent="0.3">
      <c r="A96" t="s">
        <v>502</v>
      </c>
      <c r="B96" t="s">
        <v>1299</v>
      </c>
      <c r="C96" t="s">
        <v>61</v>
      </c>
      <c r="D96" t="s">
        <v>1177</v>
      </c>
    </row>
    <row r="97" spans="1:5" x14ac:dyDescent="0.3">
      <c r="A97" t="s">
        <v>502</v>
      </c>
      <c r="B97" t="s">
        <v>1298</v>
      </c>
      <c r="C97" t="s">
        <v>1169</v>
      </c>
      <c r="D97" t="s">
        <v>1177</v>
      </c>
    </row>
    <row r="98" spans="1:5" x14ac:dyDescent="0.3">
      <c r="A98" t="s">
        <v>502</v>
      </c>
      <c r="B98" t="s">
        <v>1297</v>
      </c>
      <c r="C98" t="s">
        <v>1169</v>
      </c>
      <c r="D98" t="s">
        <v>1177</v>
      </c>
    </row>
    <row r="99" spans="1:5" x14ac:dyDescent="0.3">
      <c r="A99" t="s">
        <v>502</v>
      </c>
      <c r="B99" t="s">
        <v>1296</v>
      </c>
      <c r="C99" t="s">
        <v>1169</v>
      </c>
      <c r="D99" t="s">
        <v>1177</v>
      </c>
    </row>
    <row r="100" spans="1:5" x14ac:dyDescent="0.3">
      <c r="A100" t="s">
        <v>502</v>
      </c>
      <c r="B100" t="s">
        <v>1295</v>
      </c>
      <c r="C100" t="s">
        <v>1169</v>
      </c>
      <c r="D100" t="s">
        <v>1177</v>
      </c>
    </row>
    <row r="101" spans="1:5" x14ac:dyDescent="0.3">
      <c r="A101" t="s">
        <v>502</v>
      </c>
      <c r="B101" t="s">
        <v>1294</v>
      </c>
      <c r="C101" t="s">
        <v>1169</v>
      </c>
      <c r="D101" t="s">
        <v>1177</v>
      </c>
    </row>
    <row r="102" spans="1:5" x14ac:dyDescent="0.3">
      <c r="A102" t="s">
        <v>502</v>
      </c>
      <c r="B102" t="s">
        <v>1293</v>
      </c>
      <c r="C102" t="s">
        <v>1169</v>
      </c>
      <c r="D102" t="s">
        <v>1177</v>
      </c>
    </row>
    <row r="103" spans="1:5" x14ac:dyDescent="0.3">
      <c r="A103" t="s">
        <v>502</v>
      </c>
      <c r="B103" t="s">
        <v>1291</v>
      </c>
      <c r="C103" t="s">
        <v>54</v>
      </c>
      <c r="D103" t="s">
        <v>1177</v>
      </c>
      <c r="E103">
        <v>33.3612823522243</v>
      </c>
    </row>
    <row r="104" spans="1:5" x14ac:dyDescent="0.3">
      <c r="A104" t="s">
        <v>502</v>
      </c>
      <c r="B104" t="s">
        <v>1290</v>
      </c>
      <c r="C104" t="s">
        <v>1251</v>
      </c>
      <c r="D104" t="s">
        <v>1177</v>
      </c>
    </row>
    <row r="105" spans="1:5" x14ac:dyDescent="0.3">
      <c r="A105" t="s">
        <v>502</v>
      </c>
      <c r="B105" t="s">
        <v>1289</v>
      </c>
      <c r="C105" t="s">
        <v>1169</v>
      </c>
      <c r="D105" t="s">
        <v>1177</v>
      </c>
    </row>
    <row r="106" spans="1:5" x14ac:dyDescent="0.3">
      <c r="A106" t="s">
        <v>502</v>
      </c>
      <c r="B106" t="s">
        <v>1301</v>
      </c>
      <c r="C106" t="s">
        <v>61</v>
      </c>
      <c r="D106" t="s">
        <v>1178</v>
      </c>
    </row>
    <row r="107" spans="1:5" x14ac:dyDescent="0.3">
      <c r="A107" t="s">
        <v>502</v>
      </c>
      <c r="B107" t="s">
        <v>1300</v>
      </c>
      <c r="C107" t="s">
        <v>61</v>
      </c>
      <c r="D107" t="s">
        <v>1178</v>
      </c>
    </row>
    <row r="108" spans="1:5" x14ac:dyDescent="0.3">
      <c r="A108" t="s">
        <v>502</v>
      </c>
      <c r="B108" t="s">
        <v>1299</v>
      </c>
      <c r="C108" t="s">
        <v>61</v>
      </c>
      <c r="D108" t="s">
        <v>1178</v>
      </c>
    </row>
    <row r="109" spans="1:5" x14ac:dyDescent="0.3">
      <c r="A109" t="s">
        <v>502</v>
      </c>
      <c r="B109" t="s">
        <v>1298</v>
      </c>
      <c r="C109" t="s">
        <v>1169</v>
      </c>
      <c r="D109" t="s">
        <v>1178</v>
      </c>
    </row>
    <row r="110" spans="1:5" x14ac:dyDescent="0.3">
      <c r="A110" t="s">
        <v>502</v>
      </c>
      <c r="B110" t="s">
        <v>1297</v>
      </c>
      <c r="C110" t="s">
        <v>1169</v>
      </c>
      <c r="D110" t="s">
        <v>1178</v>
      </c>
    </row>
    <row r="111" spans="1:5" x14ac:dyDescent="0.3">
      <c r="A111" t="s">
        <v>502</v>
      </c>
      <c r="B111" t="s">
        <v>1296</v>
      </c>
      <c r="C111" t="s">
        <v>1169</v>
      </c>
      <c r="D111" t="s">
        <v>1178</v>
      </c>
    </row>
    <row r="112" spans="1:5" x14ac:dyDescent="0.3">
      <c r="A112" t="s">
        <v>502</v>
      </c>
      <c r="B112" t="s">
        <v>1295</v>
      </c>
      <c r="C112" t="s">
        <v>1169</v>
      </c>
      <c r="D112" t="s">
        <v>1178</v>
      </c>
    </row>
    <row r="113" spans="1:5" x14ac:dyDescent="0.3">
      <c r="A113" t="s">
        <v>502</v>
      </c>
      <c r="B113" t="s">
        <v>1294</v>
      </c>
      <c r="C113" t="s">
        <v>1169</v>
      </c>
      <c r="D113" t="s">
        <v>1178</v>
      </c>
    </row>
    <row r="114" spans="1:5" x14ac:dyDescent="0.3">
      <c r="A114" t="s">
        <v>502</v>
      </c>
      <c r="B114" t="s">
        <v>1293</v>
      </c>
      <c r="C114" t="s">
        <v>1169</v>
      </c>
      <c r="D114" t="s">
        <v>1178</v>
      </c>
    </row>
    <row r="115" spans="1:5" x14ac:dyDescent="0.3">
      <c r="A115" t="s">
        <v>502</v>
      </c>
      <c r="B115" t="s">
        <v>1291</v>
      </c>
      <c r="C115" t="s">
        <v>54</v>
      </c>
      <c r="D115" t="s">
        <v>1178</v>
      </c>
      <c r="E115">
        <v>41.5567170256097</v>
      </c>
    </row>
    <row r="116" spans="1:5" x14ac:dyDescent="0.3">
      <c r="A116" t="s">
        <v>502</v>
      </c>
      <c r="B116" t="s">
        <v>1290</v>
      </c>
      <c r="C116" t="s">
        <v>1251</v>
      </c>
      <c r="D116" t="s">
        <v>1178</v>
      </c>
    </row>
    <row r="117" spans="1:5" x14ac:dyDescent="0.3">
      <c r="A117" t="s">
        <v>502</v>
      </c>
      <c r="B117" t="s">
        <v>1289</v>
      </c>
      <c r="C117" t="s">
        <v>1169</v>
      </c>
      <c r="D117" t="s">
        <v>1178</v>
      </c>
    </row>
    <row r="118" spans="1:5" x14ac:dyDescent="0.3">
      <c r="A118" t="s">
        <v>502</v>
      </c>
      <c r="B118" t="s">
        <v>1301</v>
      </c>
      <c r="C118" t="s">
        <v>61</v>
      </c>
      <c r="D118" t="s">
        <v>1179</v>
      </c>
    </row>
    <row r="119" spans="1:5" x14ac:dyDescent="0.3">
      <c r="A119" t="s">
        <v>502</v>
      </c>
      <c r="B119" t="s">
        <v>1300</v>
      </c>
      <c r="C119" t="s">
        <v>61</v>
      </c>
      <c r="D119" t="s">
        <v>1179</v>
      </c>
    </row>
    <row r="120" spans="1:5" x14ac:dyDescent="0.3">
      <c r="A120" t="s">
        <v>502</v>
      </c>
      <c r="B120" t="s">
        <v>1299</v>
      </c>
      <c r="C120" t="s">
        <v>61</v>
      </c>
      <c r="D120" t="s">
        <v>1179</v>
      </c>
    </row>
    <row r="121" spans="1:5" x14ac:dyDescent="0.3">
      <c r="A121" t="s">
        <v>502</v>
      </c>
      <c r="B121" t="s">
        <v>1298</v>
      </c>
      <c r="C121" t="s">
        <v>1169</v>
      </c>
      <c r="D121" t="s">
        <v>1179</v>
      </c>
    </row>
    <row r="122" spans="1:5" x14ac:dyDescent="0.3">
      <c r="A122" t="s">
        <v>502</v>
      </c>
      <c r="B122" t="s">
        <v>1297</v>
      </c>
      <c r="C122" t="s">
        <v>1169</v>
      </c>
      <c r="D122" t="s">
        <v>1179</v>
      </c>
    </row>
    <row r="123" spans="1:5" x14ac:dyDescent="0.3">
      <c r="A123" t="s">
        <v>502</v>
      </c>
      <c r="B123" t="s">
        <v>1296</v>
      </c>
      <c r="C123" t="s">
        <v>1169</v>
      </c>
      <c r="D123" t="s">
        <v>1179</v>
      </c>
    </row>
    <row r="124" spans="1:5" x14ac:dyDescent="0.3">
      <c r="A124" t="s">
        <v>502</v>
      </c>
      <c r="B124" t="s">
        <v>1295</v>
      </c>
      <c r="C124" t="s">
        <v>1169</v>
      </c>
      <c r="D124" t="s">
        <v>1179</v>
      </c>
    </row>
    <row r="125" spans="1:5" x14ac:dyDescent="0.3">
      <c r="A125" t="s">
        <v>502</v>
      </c>
      <c r="B125" t="s">
        <v>1294</v>
      </c>
      <c r="C125" t="s">
        <v>1169</v>
      </c>
      <c r="D125" t="s">
        <v>1179</v>
      </c>
    </row>
    <row r="126" spans="1:5" x14ac:dyDescent="0.3">
      <c r="A126" t="s">
        <v>502</v>
      </c>
      <c r="B126" t="s">
        <v>1293</v>
      </c>
      <c r="C126" t="s">
        <v>1169</v>
      </c>
      <c r="D126" t="s">
        <v>1179</v>
      </c>
    </row>
    <row r="127" spans="1:5" x14ac:dyDescent="0.3">
      <c r="A127" t="s">
        <v>502</v>
      </c>
      <c r="B127" t="s">
        <v>1291</v>
      </c>
      <c r="C127" t="s">
        <v>54</v>
      </c>
      <c r="D127" t="s">
        <v>1179</v>
      </c>
      <c r="E127">
        <v>67.551144363981379</v>
      </c>
    </row>
    <row r="128" spans="1:5" x14ac:dyDescent="0.3">
      <c r="A128" t="s">
        <v>502</v>
      </c>
      <c r="B128" t="s">
        <v>1290</v>
      </c>
      <c r="C128" t="s">
        <v>1251</v>
      </c>
      <c r="D128" t="s">
        <v>1179</v>
      </c>
    </row>
    <row r="129" spans="1:5" x14ac:dyDescent="0.3">
      <c r="A129" t="s">
        <v>502</v>
      </c>
      <c r="B129" t="s">
        <v>1289</v>
      </c>
      <c r="C129" t="s">
        <v>1169</v>
      </c>
      <c r="D129" t="s">
        <v>1179</v>
      </c>
    </row>
    <row r="130" spans="1:5" x14ac:dyDescent="0.3">
      <c r="A130" t="s">
        <v>502</v>
      </c>
      <c r="B130" t="s">
        <v>1301</v>
      </c>
      <c r="C130" t="s">
        <v>61</v>
      </c>
      <c r="D130" t="s">
        <v>1180</v>
      </c>
    </row>
    <row r="131" spans="1:5" x14ac:dyDescent="0.3">
      <c r="A131" t="s">
        <v>502</v>
      </c>
      <c r="B131" t="s">
        <v>1300</v>
      </c>
      <c r="C131" t="s">
        <v>61</v>
      </c>
      <c r="D131" t="s">
        <v>1180</v>
      </c>
    </row>
    <row r="132" spans="1:5" x14ac:dyDescent="0.3">
      <c r="A132" t="s">
        <v>502</v>
      </c>
      <c r="B132" t="s">
        <v>1299</v>
      </c>
      <c r="C132" t="s">
        <v>61</v>
      </c>
      <c r="D132" t="s">
        <v>1180</v>
      </c>
    </row>
    <row r="133" spans="1:5" x14ac:dyDescent="0.3">
      <c r="A133" t="s">
        <v>502</v>
      </c>
      <c r="B133" t="s">
        <v>1298</v>
      </c>
      <c r="C133" t="s">
        <v>1169</v>
      </c>
      <c r="D133" t="s">
        <v>1180</v>
      </c>
    </row>
    <row r="134" spans="1:5" x14ac:dyDescent="0.3">
      <c r="A134" t="s">
        <v>502</v>
      </c>
      <c r="B134" t="s">
        <v>1297</v>
      </c>
      <c r="C134" t="s">
        <v>1169</v>
      </c>
      <c r="D134" t="s">
        <v>1180</v>
      </c>
    </row>
    <row r="135" spans="1:5" x14ac:dyDescent="0.3">
      <c r="A135" t="s">
        <v>502</v>
      </c>
      <c r="B135" t="s">
        <v>1296</v>
      </c>
      <c r="C135" t="s">
        <v>1169</v>
      </c>
      <c r="D135" t="s">
        <v>1180</v>
      </c>
    </row>
    <row r="136" spans="1:5" x14ac:dyDescent="0.3">
      <c r="A136" t="s">
        <v>502</v>
      </c>
      <c r="B136" t="s">
        <v>1295</v>
      </c>
      <c r="C136" t="s">
        <v>1169</v>
      </c>
      <c r="D136" t="s">
        <v>1180</v>
      </c>
    </row>
    <row r="137" spans="1:5" x14ac:dyDescent="0.3">
      <c r="A137" t="s">
        <v>502</v>
      </c>
      <c r="B137" t="s">
        <v>1294</v>
      </c>
      <c r="C137" t="s">
        <v>1169</v>
      </c>
      <c r="D137" t="s">
        <v>1180</v>
      </c>
    </row>
    <row r="138" spans="1:5" x14ac:dyDescent="0.3">
      <c r="A138" t="s">
        <v>502</v>
      </c>
      <c r="B138" t="s">
        <v>1293</v>
      </c>
      <c r="C138" t="s">
        <v>1169</v>
      </c>
      <c r="D138" t="s">
        <v>1180</v>
      </c>
    </row>
    <row r="139" spans="1:5" x14ac:dyDescent="0.3">
      <c r="A139" t="s">
        <v>502</v>
      </c>
      <c r="B139" t="s">
        <v>1291</v>
      </c>
      <c r="C139" t="s">
        <v>54</v>
      </c>
      <c r="D139" t="s">
        <v>1180</v>
      </c>
      <c r="E139">
        <v>46.936616416097102</v>
      </c>
    </row>
    <row r="140" spans="1:5" x14ac:dyDescent="0.3">
      <c r="A140" t="s">
        <v>502</v>
      </c>
      <c r="B140" t="s">
        <v>1290</v>
      </c>
      <c r="C140" t="s">
        <v>1251</v>
      </c>
      <c r="D140" t="s">
        <v>1180</v>
      </c>
    </row>
    <row r="141" spans="1:5" x14ac:dyDescent="0.3">
      <c r="A141" t="s">
        <v>502</v>
      </c>
      <c r="B141" t="s">
        <v>1289</v>
      </c>
      <c r="C141" t="s">
        <v>1169</v>
      </c>
      <c r="D141" t="s">
        <v>1180</v>
      </c>
    </row>
    <row r="142" spans="1:5" x14ac:dyDescent="0.3">
      <c r="A142" t="s">
        <v>502</v>
      </c>
      <c r="B142" t="s">
        <v>1301</v>
      </c>
      <c r="C142" t="s">
        <v>61</v>
      </c>
      <c r="D142" t="s">
        <v>1181</v>
      </c>
    </row>
    <row r="143" spans="1:5" x14ac:dyDescent="0.3">
      <c r="A143" t="s">
        <v>502</v>
      </c>
      <c r="B143" t="s">
        <v>1300</v>
      </c>
      <c r="C143" t="s">
        <v>61</v>
      </c>
      <c r="D143" t="s">
        <v>1181</v>
      </c>
    </row>
    <row r="144" spans="1:5" x14ac:dyDescent="0.3">
      <c r="A144" t="s">
        <v>502</v>
      </c>
      <c r="B144" t="s">
        <v>1299</v>
      </c>
      <c r="C144" t="s">
        <v>61</v>
      </c>
      <c r="D144" t="s">
        <v>1181</v>
      </c>
    </row>
    <row r="145" spans="1:5" x14ac:dyDescent="0.3">
      <c r="A145" t="s">
        <v>502</v>
      </c>
      <c r="B145" t="s">
        <v>1297</v>
      </c>
      <c r="C145" t="s">
        <v>1169</v>
      </c>
      <c r="D145" t="s">
        <v>1181</v>
      </c>
    </row>
    <row r="146" spans="1:5" x14ac:dyDescent="0.3">
      <c r="A146" t="s">
        <v>502</v>
      </c>
      <c r="B146" t="s">
        <v>1296</v>
      </c>
      <c r="C146" t="s">
        <v>1169</v>
      </c>
      <c r="D146" t="s">
        <v>1181</v>
      </c>
    </row>
    <row r="147" spans="1:5" x14ac:dyDescent="0.3">
      <c r="A147" t="s">
        <v>502</v>
      </c>
      <c r="B147" t="s">
        <v>1295</v>
      </c>
      <c r="C147" t="s">
        <v>1169</v>
      </c>
      <c r="D147" t="s">
        <v>1181</v>
      </c>
    </row>
    <row r="148" spans="1:5" x14ac:dyDescent="0.3">
      <c r="A148" t="s">
        <v>502</v>
      </c>
      <c r="B148" t="s">
        <v>1294</v>
      </c>
      <c r="C148" t="s">
        <v>1169</v>
      </c>
      <c r="D148" t="s">
        <v>1181</v>
      </c>
    </row>
    <row r="149" spans="1:5" x14ac:dyDescent="0.3">
      <c r="A149" t="s">
        <v>502</v>
      </c>
      <c r="B149" t="s">
        <v>1293</v>
      </c>
      <c r="C149" t="s">
        <v>1169</v>
      </c>
      <c r="D149" t="s">
        <v>1181</v>
      </c>
    </row>
    <row r="150" spans="1:5" x14ac:dyDescent="0.3">
      <c r="A150" t="s">
        <v>502</v>
      </c>
      <c r="B150" t="s">
        <v>1291</v>
      </c>
      <c r="C150" t="s">
        <v>54</v>
      </c>
      <c r="D150" t="s">
        <v>1181</v>
      </c>
      <c r="E150">
        <v>65.991820441577602</v>
      </c>
    </row>
    <row r="151" spans="1:5" x14ac:dyDescent="0.3">
      <c r="A151" t="s">
        <v>502</v>
      </c>
      <c r="B151" t="s">
        <v>1290</v>
      </c>
      <c r="C151" t="s">
        <v>1251</v>
      </c>
      <c r="D151" t="s">
        <v>1181</v>
      </c>
    </row>
    <row r="152" spans="1:5" x14ac:dyDescent="0.3">
      <c r="A152" t="s">
        <v>502</v>
      </c>
      <c r="B152" t="s">
        <v>1289</v>
      </c>
      <c r="C152" t="s">
        <v>1169</v>
      </c>
      <c r="D152" t="s">
        <v>1181</v>
      </c>
    </row>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47701-7A20-4CB2-9B86-407C488E385E}">
  <dimension ref="B1:Q20"/>
  <sheetViews>
    <sheetView topLeftCell="E1" workbookViewId="0">
      <selection activeCell="L7" sqref="L7"/>
    </sheetView>
  </sheetViews>
  <sheetFormatPr defaultRowHeight="14.4" x14ac:dyDescent="0.3"/>
  <cols>
    <col min="2" max="2" width="27.88671875" customWidth="1"/>
    <col min="3" max="3" width="13.44140625" customWidth="1"/>
    <col min="5" max="5" width="17" customWidth="1"/>
    <col min="6" max="6" width="17.5546875" customWidth="1"/>
    <col min="8" max="9" width="28.77734375" customWidth="1"/>
    <col min="10" max="10" width="6.77734375" customWidth="1"/>
    <col min="11" max="11" width="15.77734375" customWidth="1"/>
  </cols>
  <sheetData>
    <row r="1" spans="2:17" s="146" customFormat="1" ht="28.8" x14ac:dyDescent="0.3">
      <c r="C1" s="820" t="s">
        <v>1384</v>
      </c>
      <c r="F1" s="146" t="s">
        <v>1157</v>
      </c>
      <c r="H1" s="146" t="s">
        <v>1251</v>
      </c>
      <c r="I1" s="821" t="s">
        <v>1385</v>
      </c>
      <c r="J1" s="822"/>
      <c r="L1" s="146" t="s">
        <v>1386</v>
      </c>
      <c r="M1" s="146" t="s">
        <v>42</v>
      </c>
      <c r="N1" s="146" t="s">
        <v>1387</v>
      </c>
    </row>
    <row r="2" spans="2:17" x14ac:dyDescent="0.3">
      <c r="B2" s="211" t="s">
        <v>834</v>
      </c>
      <c r="C2" s="811">
        <v>14819</v>
      </c>
      <c r="E2" s="197" t="s">
        <v>453</v>
      </c>
      <c r="F2">
        <v>507512.0606630015</v>
      </c>
      <c r="H2" t="s">
        <v>453</v>
      </c>
      <c r="I2" s="75">
        <v>422168.33999999991</v>
      </c>
      <c r="J2" s="75"/>
      <c r="K2" s="211" t="s">
        <v>834</v>
      </c>
      <c r="L2">
        <f t="shared" ref="L2:L19" si="0">(F2+I2)/C2</f>
        <v>62.735704208313749</v>
      </c>
      <c r="M2" t="s">
        <v>42</v>
      </c>
      <c r="N2">
        <f>$P$2</f>
        <v>100</v>
      </c>
      <c r="O2" t="s">
        <v>1387</v>
      </c>
      <c r="P2">
        <v>100</v>
      </c>
      <c r="Q2" t="s">
        <v>42</v>
      </c>
    </row>
    <row r="3" spans="2:17" x14ac:dyDescent="0.3">
      <c r="B3" s="213" t="s">
        <v>497</v>
      </c>
      <c r="C3" s="812">
        <v>18146</v>
      </c>
      <c r="E3" s="197" t="s">
        <v>497</v>
      </c>
      <c r="F3">
        <v>1444190.0739794921</v>
      </c>
      <c r="H3" t="s">
        <v>497</v>
      </c>
      <c r="I3" s="75">
        <v>430570.13999999996</v>
      </c>
      <c r="J3" s="75"/>
      <c r="K3" s="213" t="s">
        <v>497</v>
      </c>
      <c r="L3">
        <f t="shared" si="0"/>
        <v>103.31534299457137</v>
      </c>
      <c r="M3" t="s">
        <v>42</v>
      </c>
      <c r="N3">
        <f t="shared" ref="N3:N20" si="1">$P$2</f>
        <v>100</v>
      </c>
    </row>
    <row r="4" spans="2:17" x14ac:dyDescent="0.3">
      <c r="B4" s="211" t="s">
        <v>841</v>
      </c>
      <c r="C4" s="813">
        <v>11048.5041</v>
      </c>
      <c r="E4" s="197" t="s">
        <v>981</v>
      </c>
      <c r="F4">
        <v>1260185.6499999999</v>
      </c>
      <c r="H4" s="53" t="s">
        <v>981</v>
      </c>
      <c r="I4" s="523">
        <v>1006847</v>
      </c>
      <c r="J4" s="523"/>
      <c r="K4" s="211" t="s">
        <v>841</v>
      </c>
      <c r="L4">
        <f t="shared" si="0"/>
        <v>205.18910338278283</v>
      </c>
      <c r="M4" t="s">
        <v>42</v>
      </c>
      <c r="N4">
        <f t="shared" si="1"/>
        <v>100</v>
      </c>
    </row>
    <row r="5" spans="2:17" x14ac:dyDescent="0.3">
      <c r="B5" s="213" t="s">
        <v>842</v>
      </c>
      <c r="C5" s="812">
        <v>6649</v>
      </c>
      <c r="E5" s="197" t="s">
        <v>502</v>
      </c>
      <c r="F5">
        <v>875131.30150000006</v>
      </c>
      <c r="H5" t="s">
        <v>502</v>
      </c>
      <c r="I5" s="75">
        <v>153752.94</v>
      </c>
      <c r="J5" s="75"/>
      <c r="K5" s="213" t="s">
        <v>842</v>
      </c>
      <c r="L5">
        <f t="shared" si="0"/>
        <v>154.74270439163783</v>
      </c>
      <c r="M5" t="s">
        <v>42</v>
      </c>
      <c r="N5">
        <f t="shared" si="1"/>
        <v>100</v>
      </c>
    </row>
    <row r="6" spans="2:17" x14ac:dyDescent="0.3">
      <c r="B6" s="211" t="s">
        <v>499</v>
      </c>
      <c r="C6" s="814">
        <v>8706</v>
      </c>
      <c r="E6" s="197" t="s">
        <v>499</v>
      </c>
      <c r="F6">
        <v>623943.31963028852</v>
      </c>
      <c r="H6" t="s">
        <v>499</v>
      </c>
      <c r="I6" s="75">
        <v>49946.489999999962</v>
      </c>
      <c r="J6" s="75"/>
      <c r="K6" s="211" t="s">
        <v>499</v>
      </c>
      <c r="L6">
        <f t="shared" si="0"/>
        <v>77.405215900561515</v>
      </c>
      <c r="M6" t="s">
        <v>42</v>
      </c>
      <c r="N6">
        <f t="shared" si="1"/>
        <v>100</v>
      </c>
    </row>
    <row r="7" spans="2:17" x14ac:dyDescent="0.3">
      <c r="B7" s="211" t="s">
        <v>463</v>
      </c>
      <c r="C7" s="816">
        <v>509</v>
      </c>
      <c r="E7" s="197" t="s">
        <v>463</v>
      </c>
      <c r="F7">
        <v>11908.04970703125</v>
      </c>
      <c r="H7" t="s">
        <v>463</v>
      </c>
      <c r="I7" s="75">
        <v>41345.715000000004</v>
      </c>
      <c r="J7" s="75"/>
      <c r="K7" s="211" t="s">
        <v>463</v>
      </c>
      <c r="L7">
        <f t="shared" si="0"/>
        <v>104.62429215526768</v>
      </c>
      <c r="M7" t="s">
        <v>42</v>
      </c>
      <c r="N7">
        <f t="shared" si="1"/>
        <v>100</v>
      </c>
    </row>
    <row r="8" spans="2:17" x14ac:dyDescent="0.3">
      <c r="B8" s="213" t="s">
        <v>461</v>
      </c>
      <c r="C8" s="818">
        <v>5060</v>
      </c>
      <c r="E8" s="197" t="s">
        <v>461</v>
      </c>
      <c r="F8">
        <v>598237.86011652322</v>
      </c>
      <c r="H8" t="s">
        <v>461</v>
      </c>
      <c r="I8" s="75">
        <v>523858.86334028729</v>
      </c>
      <c r="J8" s="75"/>
      <c r="K8" s="213" t="s">
        <v>461</v>
      </c>
      <c r="L8">
        <f t="shared" si="0"/>
        <v>221.75824574245266</v>
      </c>
      <c r="M8" t="s">
        <v>42</v>
      </c>
      <c r="N8">
        <f t="shared" si="1"/>
        <v>100</v>
      </c>
    </row>
    <row r="9" spans="2:17" x14ac:dyDescent="0.3">
      <c r="B9" s="211" t="s">
        <v>462</v>
      </c>
      <c r="C9" s="819">
        <v>5198</v>
      </c>
      <c r="E9" s="197" t="s">
        <v>462</v>
      </c>
      <c r="F9">
        <v>362774.000126709</v>
      </c>
      <c r="H9" t="s">
        <v>462</v>
      </c>
      <c r="I9" s="75">
        <v>356057.22965402663</v>
      </c>
      <c r="J9" s="75"/>
      <c r="K9" s="211" t="s">
        <v>462</v>
      </c>
      <c r="L9">
        <f t="shared" si="0"/>
        <v>138.28996340529736</v>
      </c>
      <c r="M9" t="s">
        <v>42</v>
      </c>
      <c r="N9">
        <f t="shared" si="1"/>
        <v>100</v>
      </c>
    </row>
    <row r="10" spans="2:17" x14ac:dyDescent="0.3">
      <c r="B10" s="213" t="s">
        <v>459</v>
      </c>
      <c r="C10" s="812">
        <v>10075</v>
      </c>
      <c r="E10" s="501" t="s">
        <v>500</v>
      </c>
      <c r="F10">
        <v>1379039.8724889746</v>
      </c>
      <c r="H10" t="s">
        <v>500</v>
      </c>
      <c r="I10" s="75">
        <v>260190.48000000004</v>
      </c>
      <c r="J10" s="75"/>
      <c r="K10" s="213" t="s">
        <v>459</v>
      </c>
      <c r="L10">
        <f t="shared" si="0"/>
        <v>162.70276451503469</v>
      </c>
      <c r="M10" t="s">
        <v>42</v>
      </c>
      <c r="N10">
        <f t="shared" si="1"/>
        <v>100</v>
      </c>
    </row>
    <row r="11" spans="2:17" x14ac:dyDescent="0.3">
      <c r="B11" s="211" t="s">
        <v>839</v>
      </c>
      <c r="C11" s="814">
        <v>1050.8848</v>
      </c>
      <c r="E11" s="197" t="s">
        <v>839</v>
      </c>
      <c r="F11">
        <v>49949</v>
      </c>
      <c r="H11" s="53" t="s">
        <v>839</v>
      </c>
      <c r="I11" s="523">
        <v>95509</v>
      </c>
      <c r="J11" s="523"/>
      <c r="K11" s="211" t="s">
        <v>839</v>
      </c>
      <c r="L11">
        <f t="shared" si="0"/>
        <v>138.41479104084482</v>
      </c>
      <c r="M11" t="s">
        <v>42</v>
      </c>
      <c r="N11">
        <f t="shared" si="1"/>
        <v>100</v>
      </c>
    </row>
    <row r="12" spans="2:17" x14ac:dyDescent="0.3">
      <c r="B12" s="213" t="s">
        <v>836</v>
      </c>
      <c r="C12" s="812">
        <v>1662</v>
      </c>
      <c r="E12" s="197" t="s">
        <v>968</v>
      </c>
      <c r="F12">
        <v>74331.199999999997</v>
      </c>
      <c r="H12" s="197" t="s">
        <v>968</v>
      </c>
      <c r="I12">
        <v>0</v>
      </c>
      <c r="K12" s="213" t="s">
        <v>836</v>
      </c>
      <c r="L12">
        <f t="shared" si="0"/>
        <v>44.723947051744886</v>
      </c>
      <c r="M12" t="s">
        <v>42</v>
      </c>
      <c r="N12">
        <f t="shared" si="1"/>
        <v>100</v>
      </c>
    </row>
    <row r="13" spans="2:17" x14ac:dyDescent="0.3">
      <c r="B13" s="211" t="s">
        <v>456</v>
      </c>
      <c r="C13" s="817">
        <v>7866</v>
      </c>
      <c r="E13" s="501" t="s">
        <v>456</v>
      </c>
      <c r="F13">
        <v>187743</v>
      </c>
      <c r="H13" s="53" t="s">
        <v>456</v>
      </c>
      <c r="I13" s="523">
        <v>388832.55599999998</v>
      </c>
      <c r="J13" s="523"/>
      <c r="K13" s="211" t="s">
        <v>456</v>
      </c>
      <c r="L13">
        <f t="shared" si="0"/>
        <v>73.299714721586568</v>
      </c>
      <c r="M13" t="s">
        <v>42</v>
      </c>
      <c r="N13">
        <f t="shared" si="1"/>
        <v>100</v>
      </c>
    </row>
    <row r="14" spans="2:17" x14ac:dyDescent="0.3">
      <c r="B14" s="211" t="s">
        <v>837</v>
      </c>
      <c r="C14" s="817">
        <v>21271</v>
      </c>
      <c r="E14" s="197" t="s">
        <v>837</v>
      </c>
      <c r="F14">
        <v>681032</v>
      </c>
      <c r="H14" s="53" t="s">
        <v>837</v>
      </c>
      <c r="I14" s="523">
        <v>762192.15599999996</v>
      </c>
      <c r="J14" s="523"/>
      <c r="K14" s="211" t="s">
        <v>837</v>
      </c>
      <c r="L14">
        <f t="shared" si="0"/>
        <v>67.849379718866061</v>
      </c>
      <c r="M14" t="s">
        <v>42</v>
      </c>
      <c r="N14">
        <f t="shared" si="1"/>
        <v>100</v>
      </c>
    </row>
    <row r="15" spans="2:17" x14ac:dyDescent="0.3">
      <c r="B15" s="213" t="s">
        <v>514</v>
      </c>
      <c r="C15" s="812">
        <v>868</v>
      </c>
      <c r="E15" s="197" t="s">
        <v>514</v>
      </c>
      <c r="F15">
        <v>119428.6335</v>
      </c>
      <c r="H15" s="53" t="s">
        <v>514</v>
      </c>
      <c r="I15" s="523">
        <v>114133.67</v>
      </c>
      <c r="J15" s="523"/>
      <c r="K15" s="213" t="s">
        <v>514</v>
      </c>
      <c r="L15">
        <f t="shared" si="0"/>
        <v>269.08099481566819</v>
      </c>
      <c r="M15" t="s">
        <v>42</v>
      </c>
      <c r="N15">
        <f t="shared" si="1"/>
        <v>100</v>
      </c>
    </row>
    <row r="16" spans="2:17" x14ac:dyDescent="0.3">
      <c r="B16" s="211" t="s">
        <v>875</v>
      </c>
      <c r="C16" s="817">
        <v>6259</v>
      </c>
      <c r="E16" s="501" t="s">
        <v>516</v>
      </c>
      <c r="F16">
        <v>23613</v>
      </c>
      <c r="H16" s="533" t="s">
        <v>1162</v>
      </c>
      <c r="I16" s="585">
        <v>354293.37432877411</v>
      </c>
      <c r="J16" s="585"/>
      <c r="K16" s="211" t="s">
        <v>875</v>
      </c>
      <c r="L16">
        <f t="shared" si="0"/>
        <v>60.378075463935787</v>
      </c>
      <c r="M16" t="s">
        <v>42</v>
      </c>
      <c r="N16">
        <f t="shared" si="1"/>
        <v>100</v>
      </c>
    </row>
    <row r="17" spans="2:14" x14ac:dyDescent="0.3">
      <c r="B17" s="213" t="s">
        <v>517</v>
      </c>
      <c r="C17" s="812">
        <v>1368</v>
      </c>
      <c r="E17" s="501" t="s">
        <v>517</v>
      </c>
      <c r="F17">
        <v>41393.56069124824</v>
      </c>
      <c r="H17" s="533" t="s">
        <v>517</v>
      </c>
      <c r="I17" s="585">
        <v>58320.926011826676</v>
      </c>
      <c r="J17" s="585"/>
      <c r="K17" s="213" t="s">
        <v>517</v>
      </c>
      <c r="L17">
        <f t="shared" si="0"/>
        <v>72.890706654294533</v>
      </c>
      <c r="M17" t="s">
        <v>42</v>
      </c>
      <c r="N17">
        <f t="shared" si="1"/>
        <v>100</v>
      </c>
    </row>
    <row r="18" spans="2:14" x14ac:dyDescent="0.3">
      <c r="B18" s="213" t="s">
        <v>835</v>
      </c>
      <c r="C18" s="818">
        <v>2579</v>
      </c>
      <c r="E18" s="197" t="s">
        <v>515</v>
      </c>
      <c r="F18">
        <v>236288.07000000004</v>
      </c>
      <c r="H18" s="53" t="s">
        <v>515</v>
      </c>
      <c r="I18" s="523">
        <v>175306.55</v>
      </c>
      <c r="J18" s="523"/>
      <c r="K18" s="213" t="s">
        <v>835</v>
      </c>
      <c r="L18">
        <f t="shared" si="0"/>
        <v>159.59465684373788</v>
      </c>
      <c r="M18" t="s">
        <v>42</v>
      </c>
      <c r="N18">
        <f t="shared" si="1"/>
        <v>100</v>
      </c>
    </row>
    <row r="19" spans="2:14" x14ac:dyDescent="0.3">
      <c r="B19" s="211" t="s">
        <v>838</v>
      </c>
      <c r="C19" s="817">
        <v>16531</v>
      </c>
      <c r="E19" s="197" t="s">
        <v>518</v>
      </c>
      <c r="F19">
        <v>440690.63332999998</v>
      </c>
      <c r="H19" s="53" t="s">
        <v>518</v>
      </c>
      <c r="I19" s="196">
        <v>9213.9299999999985</v>
      </c>
      <c r="J19" s="196"/>
      <c r="K19" s="211" t="s">
        <v>838</v>
      </c>
      <c r="L19">
        <f t="shared" si="0"/>
        <v>27.215810497247595</v>
      </c>
      <c r="M19" t="s">
        <v>42</v>
      </c>
      <c r="N19">
        <f t="shared" si="1"/>
        <v>100</v>
      </c>
    </row>
    <row r="20" spans="2:14" x14ac:dyDescent="0.3">
      <c r="B20" s="213" t="s">
        <v>840</v>
      </c>
      <c r="C20" s="815">
        <v>566</v>
      </c>
      <c r="K20" s="213" t="s">
        <v>840</v>
      </c>
      <c r="N20">
        <f t="shared" si="1"/>
        <v>100</v>
      </c>
    </row>
  </sheetData>
  <pageMargins left="0.7" right="0.7" top="0.75" bottom="0.75" header="0.3" footer="0.3"/>
  <drawing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2A12-39A1-4F21-8F62-BA520F77400D}">
  <dimension ref="A2:P92"/>
  <sheetViews>
    <sheetView topLeftCell="M48" zoomScale="60" zoomScaleNormal="60" workbookViewId="0">
      <selection activeCell="N71" sqref="N71"/>
    </sheetView>
  </sheetViews>
  <sheetFormatPr defaultColWidth="8.88671875" defaultRowHeight="14.4" x14ac:dyDescent="0.3"/>
  <cols>
    <col min="1" max="1" width="55.44140625" style="146" bestFit="1" customWidth="1"/>
    <col min="2" max="2" width="19.21875" style="146" bestFit="1" customWidth="1"/>
    <col min="3" max="3" width="11.77734375" style="146" bestFit="1" customWidth="1"/>
    <col min="4" max="4" width="17.21875" style="146" customWidth="1"/>
    <col min="5" max="5" width="11.77734375" style="146" bestFit="1" customWidth="1"/>
    <col min="6" max="6" width="14.21875" style="146" customWidth="1"/>
    <col min="7" max="7" width="27.77734375" style="146" customWidth="1"/>
    <col min="8" max="8" width="15.77734375" style="146" customWidth="1"/>
    <col min="9" max="9" width="11.77734375" style="146" bestFit="1" customWidth="1"/>
    <col min="10" max="10" width="17" style="146" customWidth="1"/>
    <col min="11" max="11" width="11.77734375" style="146" bestFit="1" customWidth="1"/>
    <col min="12" max="12" width="34.77734375" style="146" customWidth="1"/>
    <col min="13" max="13" width="26.44140625" style="146" customWidth="1"/>
    <col min="14" max="14" width="17.44140625" style="146" customWidth="1"/>
    <col min="15" max="15" width="10.88671875" style="146" customWidth="1"/>
    <col min="16" max="16" width="23" style="146" customWidth="1"/>
    <col min="17" max="16384" width="8.88671875" style="146"/>
  </cols>
  <sheetData>
    <row r="2" spans="1:16" x14ac:dyDescent="0.3">
      <c r="A2" s="146" t="s">
        <v>1388</v>
      </c>
      <c r="B2" s="146" t="s">
        <v>1389</v>
      </c>
    </row>
    <row r="3" spans="1:16" x14ac:dyDescent="0.3">
      <c r="A3" s="146" t="s">
        <v>1390</v>
      </c>
      <c r="B3" s="146" t="s">
        <v>1170</v>
      </c>
      <c r="C3" s="146" t="s">
        <v>1171</v>
      </c>
      <c r="D3" s="146" t="s">
        <v>1172</v>
      </c>
      <c r="E3" s="146" t="s">
        <v>1173</v>
      </c>
      <c r="F3" s="146" t="s">
        <v>1174</v>
      </c>
      <c r="G3" s="146" t="s">
        <v>1175</v>
      </c>
      <c r="H3" s="146" t="s">
        <v>1176</v>
      </c>
      <c r="I3" s="146" t="s">
        <v>1177</v>
      </c>
      <c r="J3" s="146" t="s">
        <v>1178</v>
      </c>
      <c r="K3" s="146" t="s">
        <v>1179</v>
      </c>
      <c r="L3" s="146" t="s">
        <v>1180</v>
      </c>
      <c r="M3" s="146" t="s">
        <v>1181</v>
      </c>
      <c r="N3" s="146" t="s">
        <v>1165</v>
      </c>
      <c r="P3" s="544" t="s">
        <v>1391</v>
      </c>
    </row>
    <row r="4" spans="1:16" x14ac:dyDescent="0.3">
      <c r="A4" s="545" t="s">
        <v>453</v>
      </c>
      <c r="B4" s="546">
        <v>53.802525491262102</v>
      </c>
      <c r="C4" s="546">
        <v>51.016859182397397</v>
      </c>
      <c r="D4" s="546">
        <v>51.0432727382438</v>
      </c>
      <c r="E4" s="546">
        <v>54.076324613270302</v>
      </c>
      <c r="F4" s="546">
        <v>101.801149630064</v>
      </c>
      <c r="G4" s="546">
        <v>53.5126202114431</v>
      </c>
      <c r="H4" s="546">
        <v>52.819424759425999</v>
      </c>
      <c r="I4" s="546">
        <v>60.411717944912198</v>
      </c>
      <c r="J4" s="546">
        <v>75.252283205482996</v>
      </c>
      <c r="K4" s="546">
        <v>122.32385545277999</v>
      </c>
      <c r="L4" s="546">
        <v>84.994383677483</v>
      </c>
      <c r="M4" s="546">
        <v>119.500179912061</v>
      </c>
      <c r="N4" s="546">
        <v>880.55459681882587</v>
      </c>
      <c r="P4" s="547" t="s">
        <v>516</v>
      </c>
    </row>
    <row r="5" spans="1:16" x14ac:dyDescent="0.3">
      <c r="A5" s="545" t="s">
        <v>981</v>
      </c>
      <c r="B5" s="546">
        <v>302</v>
      </c>
      <c r="C5" s="546">
        <v>302</v>
      </c>
      <c r="D5" s="546">
        <v>367.5</v>
      </c>
      <c r="E5" s="546">
        <v>376</v>
      </c>
      <c r="F5" s="546">
        <v>376</v>
      </c>
      <c r="G5" s="546">
        <v>376</v>
      </c>
      <c r="H5" s="546">
        <v>379.1</v>
      </c>
      <c r="I5" s="546">
        <v>357.2</v>
      </c>
      <c r="J5" s="546">
        <v>365</v>
      </c>
      <c r="K5" s="546">
        <v>426.3</v>
      </c>
      <c r="L5" s="546">
        <v>447.1</v>
      </c>
      <c r="M5" s="546">
        <v>348.6</v>
      </c>
      <c r="N5" s="546">
        <v>4422.8</v>
      </c>
      <c r="P5" s="547" t="s">
        <v>518</v>
      </c>
    </row>
    <row r="6" spans="1:16" x14ac:dyDescent="0.3">
      <c r="A6" s="545" t="s">
        <v>497</v>
      </c>
      <c r="B6" s="546">
        <v>204.5</v>
      </c>
      <c r="C6" s="546">
        <v>205.2</v>
      </c>
      <c r="D6" s="546">
        <v>519.29999999999995</v>
      </c>
      <c r="E6" s="546">
        <v>216.9</v>
      </c>
      <c r="F6" s="546">
        <v>234.9</v>
      </c>
      <c r="G6" s="546">
        <v>229.3</v>
      </c>
      <c r="H6" s="546">
        <v>195.19900000000001</v>
      </c>
      <c r="I6" s="546">
        <v>252.601</v>
      </c>
      <c r="J6" s="546">
        <v>270.3</v>
      </c>
      <c r="K6" s="546">
        <v>248.4</v>
      </c>
      <c r="L6" s="546">
        <v>206.2</v>
      </c>
      <c r="M6" s="546">
        <v>164</v>
      </c>
      <c r="N6" s="546">
        <v>2946.8</v>
      </c>
      <c r="P6" s="547" t="s">
        <v>839</v>
      </c>
    </row>
    <row r="7" spans="1:16" x14ac:dyDescent="0.3">
      <c r="A7" s="545" t="s">
        <v>502</v>
      </c>
      <c r="B7" s="546">
        <v>29.711474946193</v>
      </c>
      <c r="C7" s="546">
        <v>28.173140936988698</v>
      </c>
      <c r="D7" s="546">
        <v>28.187727347117399</v>
      </c>
      <c r="E7" s="546">
        <v>29.862675576266799</v>
      </c>
      <c r="F7" s="546">
        <v>56.217849982126701</v>
      </c>
      <c r="G7" s="546">
        <v>29.5513799807715</v>
      </c>
      <c r="H7" s="546">
        <v>29.168575286802898</v>
      </c>
      <c r="I7" s="546">
        <v>33.3612823522243</v>
      </c>
      <c r="J7" s="546">
        <v>41.5567170256097</v>
      </c>
      <c r="K7" s="546">
        <v>67.551144363981379</v>
      </c>
      <c r="L7" s="546">
        <v>46.936616416097102</v>
      </c>
      <c r="M7" s="546">
        <v>65.991820441577602</v>
      </c>
      <c r="N7" s="546">
        <v>486.27040465575709</v>
      </c>
      <c r="P7" s="547" t="s">
        <v>837</v>
      </c>
    </row>
    <row r="8" spans="1:16" x14ac:dyDescent="0.3">
      <c r="A8" s="548" t="s">
        <v>499</v>
      </c>
      <c r="B8" s="549"/>
      <c r="C8" s="549"/>
      <c r="D8" s="549"/>
      <c r="E8" s="549"/>
      <c r="F8" s="546">
        <v>276.10000000000008</v>
      </c>
      <c r="G8" s="546">
        <v>295.49999999999949</v>
      </c>
      <c r="H8" s="546">
        <v>264.80000000000018</v>
      </c>
      <c r="I8" s="546">
        <v>194.90000000000111</v>
      </c>
      <c r="J8" s="546">
        <v>250.2</v>
      </c>
      <c r="K8" s="546">
        <v>253.2</v>
      </c>
      <c r="L8" s="546">
        <v>253.2</v>
      </c>
      <c r="M8" s="546">
        <v>207.7</v>
      </c>
      <c r="N8" s="546">
        <v>1995.600000000001</v>
      </c>
      <c r="P8" s="547" t="s">
        <v>456</v>
      </c>
    </row>
    <row r="9" spans="1:16" x14ac:dyDescent="0.3">
      <c r="A9" s="545" t="s">
        <v>463</v>
      </c>
      <c r="B9" s="546">
        <v>65.99867368421053</v>
      </c>
      <c r="C9" s="546">
        <v>59.611705263157887</v>
      </c>
      <c r="D9" s="546">
        <v>56.779482168106831</v>
      </c>
      <c r="E9" s="546">
        <v>42.594626865671643</v>
      </c>
      <c r="F9" s="546">
        <v>42.257258193568241</v>
      </c>
      <c r="G9" s="546">
        <v>35.063814432989687</v>
      </c>
      <c r="H9" s="546">
        <v>36.232608247422682</v>
      </c>
      <c r="I9" s="546">
        <v>36.232608247422682</v>
      </c>
      <c r="J9" s="556">
        <v>9.6475961538461537</v>
      </c>
      <c r="K9" s="556">
        <v>9.9691826923076938</v>
      </c>
      <c r="L9" s="556">
        <v>9.6475961538461537</v>
      </c>
      <c r="M9" s="546">
        <v>42.502435526315793</v>
      </c>
      <c r="N9" s="546">
        <v>446.53758762886594</v>
      </c>
      <c r="P9" s="547" t="s">
        <v>515</v>
      </c>
    </row>
    <row r="10" spans="1:16" x14ac:dyDescent="0.3">
      <c r="A10" s="550" t="s">
        <v>460</v>
      </c>
      <c r="B10" s="546">
        <v>74.3</v>
      </c>
      <c r="C10" s="546">
        <v>104.12</v>
      </c>
      <c r="D10" s="546">
        <v>117.03</v>
      </c>
      <c r="E10" s="551"/>
      <c r="F10" s="551"/>
      <c r="G10" s="551"/>
      <c r="H10" s="551"/>
      <c r="I10" s="551"/>
      <c r="J10" s="551"/>
      <c r="K10" s="551"/>
      <c r="L10" s="551"/>
      <c r="M10" s="551"/>
      <c r="N10" s="546">
        <v>295.45000000000005</v>
      </c>
    </row>
    <row r="11" spans="1:16" x14ac:dyDescent="0.3">
      <c r="A11" s="552" t="s">
        <v>456</v>
      </c>
      <c r="B11" s="553"/>
      <c r="C11" s="553"/>
      <c r="D11" s="553"/>
      <c r="E11" s="553"/>
      <c r="F11" s="553"/>
      <c r="G11" s="553"/>
      <c r="H11" s="553"/>
      <c r="I11" s="553"/>
      <c r="J11" s="553"/>
      <c r="K11" s="553"/>
      <c r="L11" s="553"/>
      <c r="M11" s="553"/>
      <c r="N11" s="553"/>
    </row>
    <row r="12" spans="1:16" ht="14.1" customHeight="1" x14ac:dyDescent="0.3">
      <c r="A12" s="552" t="s">
        <v>518</v>
      </c>
      <c r="B12" s="553"/>
      <c r="C12" s="553"/>
      <c r="D12" s="553"/>
      <c r="E12" s="553"/>
      <c r="F12" s="553"/>
      <c r="G12" s="553"/>
      <c r="H12" s="553"/>
      <c r="I12" s="553"/>
      <c r="J12" s="553"/>
      <c r="K12" s="553"/>
      <c r="L12" s="553"/>
      <c r="M12" s="553"/>
      <c r="N12" s="553"/>
      <c r="P12" s="554" t="s">
        <v>1392</v>
      </c>
    </row>
    <row r="13" spans="1:16" ht="14.1" customHeight="1" x14ac:dyDescent="0.3">
      <c r="A13" s="545" t="s">
        <v>968</v>
      </c>
      <c r="B13" s="546">
        <v>182.001</v>
      </c>
      <c r="C13" s="546">
        <v>279.29899999999998</v>
      </c>
      <c r="D13" s="546">
        <v>478.202</v>
      </c>
      <c r="E13" s="546">
        <v>334.79899999999998</v>
      </c>
      <c r="F13" s="546">
        <v>389.5</v>
      </c>
      <c r="G13" s="546">
        <v>432.30099999999999</v>
      </c>
      <c r="H13" s="546">
        <v>266.69900000000001</v>
      </c>
      <c r="I13" s="546">
        <v>216.101</v>
      </c>
      <c r="J13" s="546">
        <v>297.40100000000001</v>
      </c>
      <c r="K13" s="546">
        <v>266.60000000000002</v>
      </c>
      <c r="L13" s="546">
        <v>365.8</v>
      </c>
      <c r="M13" s="546">
        <v>245</v>
      </c>
      <c r="N13" s="546">
        <v>3753.703</v>
      </c>
      <c r="P13" s="555" t="s">
        <v>1393</v>
      </c>
    </row>
    <row r="14" spans="1:16" ht="14.1" customHeight="1" x14ac:dyDescent="0.3">
      <c r="A14" s="545" t="s">
        <v>461</v>
      </c>
      <c r="B14" s="546">
        <v>122</v>
      </c>
      <c r="C14" s="546">
        <v>129</v>
      </c>
      <c r="D14" s="546">
        <v>119</v>
      </c>
      <c r="E14" s="546">
        <v>22</v>
      </c>
      <c r="F14" s="546">
        <v>67</v>
      </c>
      <c r="G14" s="546">
        <v>105</v>
      </c>
      <c r="H14" s="546">
        <v>116</v>
      </c>
      <c r="I14" s="546">
        <v>116</v>
      </c>
      <c r="J14" s="546">
        <v>114</v>
      </c>
      <c r="K14" s="546">
        <v>144</v>
      </c>
      <c r="L14" s="546">
        <v>124</v>
      </c>
      <c r="M14" s="546">
        <v>113</v>
      </c>
      <c r="N14" s="546">
        <v>1291</v>
      </c>
      <c r="P14" s="374" t="s">
        <v>1394</v>
      </c>
    </row>
    <row r="15" spans="1:16" ht="14.1" customHeight="1" x14ac:dyDescent="0.3">
      <c r="A15" s="545" t="s">
        <v>462</v>
      </c>
      <c r="B15" s="546">
        <v>0.59000000357627802</v>
      </c>
      <c r="C15" s="546">
        <v>208.72999968007201</v>
      </c>
      <c r="D15" s="546">
        <v>137.979999966919</v>
      </c>
      <c r="E15" s="546">
        <v>55.520000020041998</v>
      </c>
      <c r="F15" s="546">
        <v>185.66000027023199</v>
      </c>
      <c r="G15" s="546">
        <v>136.92000049725101</v>
      </c>
      <c r="H15" s="546">
        <v>127.930000284686</v>
      </c>
      <c r="I15" s="546">
        <v>62.320000272244201</v>
      </c>
      <c r="J15" s="546">
        <v>67.770000047981696</v>
      </c>
      <c r="K15" s="546">
        <v>37.869999799877398</v>
      </c>
      <c r="L15" s="546">
        <v>38.969999961554997</v>
      </c>
      <c r="M15" s="546">
        <v>24.4899999685585</v>
      </c>
      <c r="N15" s="546">
        <v>1084.7500007729952</v>
      </c>
    </row>
    <row r="16" spans="1:16" ht="14.1" customHeight="1" x14ac:dyDescent="0.3">
      <c r="A16" s="552" t="s">
        <v>515</v>
      </c>
      <c r="B16" s="553"/>
      <c r="C16" s="553"/>
      <c r="D16" s="553"/>
      <c r="E16" s="553"/>
      <c r="F16" s="553"/>
      <c r="G16" s="553"/>
      <c r="H16" s="553"/>
      <c r="I16" s="553"/>
      <c r="J16" s="553"/>
      <c r="K16" s="553"/>
      <c r="L16" s="553"/>
      <c r="M16" s="553"/>
      <c r="N16" s="553"/>
    </row>
    <row r="17" spans="1:16" ht="14.1" customHeight="1" x14ac:dyDescent="0.3">
      <c r="A17" s="552" t="s">
        <v>516</v>
      </c>
      <c r="B17" s="553"/>
      <c r="C17" s="553"/>
      <c r="D17" s="553"/>
      <c r="E17" s="553"/>
      <c r="F17" s="553"/>
      <c r="G17" s="553"/>
      <c r="H17" s="553"/>
      <c r="I17" s="553"/>
      <c r="J17" s="553"/>
      <c r="K17" s="553"/>
      <c r="L17" s="553"/>
      <c r="M17" s="553"/>
      <c r="N17" s="553"/>
    </row>
    <row r="18" spans="1:16" x14ac:dyDescent="0.3">
      <c r="A18" s="552" t="s">
        <v>839</v>
      </c>
      <c r="B18" s="553"/>
      <c r="C18" s="553"/>
      <c r="D18" s="553"/>
      <c r="E18" s="553"/>
      <c r="F18" s="553"/>
      <c r="G18" s="553"/>
      <c r="H18" s="553"/>
      <c r="I18" s="553"/>
      <c r="J18" s="553"/>
      <c r="K18" s="553"/>
      <c r="L18" s="553"/>
      <c r="M18" s="553"/>
      <c r="N18" s="553"/>
    </row>
    <row r="19" spans="1:16" x14ac:dyDescent="0.3">
      <c r="A19" s="545" t="s">
        <v>514</v>
      </c>
      <c r="B19" s="546">
        <v>27.414450757575761</v>
      </c>
      <c r="C19" s="546">
        <v>24.761439393939391</v>
      </c>
      <c r="D19" s="546">
        <v>27.414450757575761</v>
      </c>
      <c r="E19" s="546">
        <v>26.530113636363641</v>
      </c>
      <c r="F19" s="546">
        <v>27.414450757575761</v>
      </c>
      <c r="G19" s="546">
        <v>26.530113636363641</v>
      </c>
      <c r="H19" s="546">
        <v>27.414450757575761</v>
      </c>
      <c r="I19" s="546">
        <v>27.414450757575761</v>
      </c>
      <c r="J19" s="546">
        <v>26.530113636363641</v>
      </c>
      <c r="K19" s="546">
        <v>38.564762295081962</v>
      </c>
      <c r="L19" s="546">
        <v>37.320737704918031</v>
      </c>
      <c r="M19" s="546">
        <v>31.730700384997512</v>
      </c>
      <c r="N19" s="546">
        <v>349.04023447590663</v>
      </c>
    </row>
    <row r="20" spans="1:16" x14ac:dyDescent="0.3">
      <c r="A20" s="545" t="s">
        <v>500</v>
      </c>
      <c r="B20" s="546">
        <v>557</v>
      </c>
      <c r="C20" s="546">
        <v>398</v>
      </c>
      <c r="D20" s="546">
        <v>523</v>
      </c>
      <c r="E20" s="546">
        <v>555</v>
      </c>
      <c r="F20" s="546">
        <v>506</v>
      </c>
      <c r="G20" s="546">
        <v>435</v>
      </c>
      <c r="H20" s="546">
        <v>460</v>
      </c>
      <c r="I20" s="546">
        <v>416</v>
      </c>
      <c r="J20" s="556">
        <v>487</v>
      </c>
      <c r="K20" s="546">
        <v>572</v>
      </c>
      <c r="L20" s="546">
        <v>474</v>
      </c>
      <c r="M20" s="546">
        <v>466</v>
      </c>
      <c r="N20" s="546">
        <v>5849</v>
      </c>
    </row>
    <row r="21" spans="1:16" x14ac:dyDescent="0.3">
      <c r="A21" s="552" t="s">
        <v>837</v>
      </c>
      <c r="B21" s="553"/>
      <c r="C21" s="553"/>
      <c r="D21" s="553"/>
      <c r="E21" s="553"/>
      <c r="F21" s="553"/>
      <c r="G21" s="553"/>
      <c r="H21" s="553"/>
      <c r="I21" s="553"/>
      <c r="J21" s="553"/>
      <c r="K21" s="553"/>
      <c r="L21" s="553"/>
      <c r="M21" s="553"/>
      <c r="N21" s="553"/>
    </row>
    <row r="22" spans="1:16" x14ac:dyDescent="0.3">
      <c r="A22" s="545" t="s">
        <v>1165</v>
      </c>
      <c r="B22" s="546">
        <v>1619.3181248828173</v>
      </c>
      <c r="C22" s="546">
        <v>1789.9121444565553</v>
      </c>
      <c r="D22" s="546">
        <v>2425.4369329779629</v>
      </c>
      <c r="E22" s="546">
        <v>1713.2827407116147</v>
      </c>
      <c r="F22" s="546">
        <v>2262.8507088335668</v>
      </c>
      <c r="G22" s="546">
        <v>2154.6789287588185</v>
      </c>
      <c r="H22" s="546">
        <v>1955.3630593359135</v>
      </c>
      <c r="I22" s="546">
        <v>1772.5420595743801</v>
      </c>
      <c r="J22" s="546">
        <v>2004.6577100692843</v>
      </c>
      <c r="K22" s="546">
        <v>2186.7789446040283</v>
      </c>
      <c r="L22" s="546">
        <v>2088.1693339138992</v>
      </c>
      <c r="M22" s="546">
        <v>1828.5151362335107</v>
      </c>
      <c r="N22" s="546">
        <v>23801.505824352349</v>
      </c>
    </row>
    <row r="25" spans="1:16" ht="15" thickBot="1" x14ac:dyDescent="0.35">
      <c r="A25" s="557" t="s">
        <v>1388</v>
      </c>
      <c r="B25" s="557" t="s">
        <v>1389</v>
      </c>
      <c r="C25" s="557"/>
      <c r="D25" s="557"/>
      <c r="E25" s="557"/>
      <c r="F25" s="557"/>
      <c r="G25" s="557"/>
      <c r="H25" s="557"/>
      <c r="I25" s="557"/>
      <c r="J25" s="557"/>
      <c r="K25" s="557"/>
      <c r="L25" s="557"/>
      <c r="M25" s="557"/>
      <c r="N25" s="557"/>
    </row>
    <row r="26" spans="1:16" x14ac:dyDescent="0.3">
      <c r="A26" s="558" t="s">
        <v>1390</v>
      </c>
      <c r="B26" s="558" t="s">
        <v>1170</v>
      </c>
      <c r="C26" s="558" t="s">
        <v>1171</v>
      </c>
      <c r="D26" s="558" t="s">
        <v>1172</v>
      </c>
      <c r="E26" s="558" t="s">
        <v>1173</v>
      </c>
      <c r="F26" s="558" t="s">
        <v>1174</v>
      </c>
      <c r="G26" s="558" t="s">
        <v>1175</v>
      </c>
      <c r="H26" s="558" t="s">
        <v>1176</v>
      </c>
      <c r="I26" s="558" t="s">
        <v>1177</v>
      </c>
      <c r="J26" s="558" t="s">
        <v>1178</v>
      </c>
      <c r="K26" s="558" t="s">
        <v>1179</v>
      </c>
      <c r="L26" s="558" t="s">
        <v>1180</v>
      </c>
      <c r="M26" s="558" t="s">
        <v>1181</v>
      </c>
      <c r="N26" s="559" t="s">
        <v>1165</v>
      </c>
    </row>
    <row r="27" spans="1:16" x14ac:dyDescent="0.3">
      <c r="A27" s="545" t="s">
        <v>453</v>
      </c>
      <c r="B27" s="546">
        <v>53.802525491262102</v>
      </c>
      <c r="C27" s="546">
        <v>51.016859182397397</v>
      </c>
      <c r="D27" s="546">
        <v>51.0432727382438</v>
      </c>
      <c r="E27" s="546">
        <v>54.076324613270302</v>
      </c>
      <c r="F27" s="546">
        <v>101.801149630064</v>
      </c>
      <c r="G27" s="546">
        <v>53.5126202114431</v>
      </c>
      <c r="H27" s="546">
        <v>52.819424759425999</v>
      </c>
      <c r="I27" s="546">
        <v>60.411717944912198</v>
      </c>
      <c r="J27" s="546">
        <v>75.252283205482996</v>
      </c>
      <c r="K27" s="546">
        <v>122.32385545277999</v>
      </c>
      <c r="L27" s="546">
        <v>84.994383677483</v>
      </c>
      <c r="M27" s="546">
        <v>119.500179912061</v>
      </c>
      <c r="N27" s="560">
        <f>SUM(B27:M27)</f>
        <v>880.55459681882587</v>
      </c>
    </row>
    <row r="28" spans="1:16" x14ac:dyDescent="0.3">
      <c r="A28" s="545" t="s">
        <v>981</v>
      </c>
      <c r="B28" s="546">
        <v>302</v>
      </c>
      <c r="C28" s="546">
        <v>302</v>
      </c>
      <c r="D28" s="546">
        <v>367.5</v>
      </c>
      <c r="E28" s="546">
        <v>376</v>
      </c>
      <c r="F28" s="546">
        <v>376</v>
      </c>
      <c r="G28" s="546">
        <v>376</v>
      </c>
      <c r="H28" s="546">
        <v>379.1</v>
      </c>
      <c r="I28" s="546">
        <v>357.2</v>
      </c>
      <c r="J28" s="546">
        <v>365</v>
      </c>
      <c r="K28" s="546">
        <v>426.3</v>
      </c>
      <c r="L28" s="546">
        <v>447.1</v>
      </c>
      <c r="M28" s="546">
        <v>348.6</v>
      </c>
      <c r="N28" s="560">
        <f t="shared" ref="N28:N44" si="0">SUM(B28:M28)</f>
        <v>4422.8</v>
      </c>
    </row>
    <row r="29" spans="1:16" x14ac:dyDescent="0.3">
      <c r="A29" s="545" t="s">
        <v>497</v>
      </c>
      <c r="B29" s="546">
        <v>204.5</v>
      </c>
      <c r="C29" s="546">
        <v>205.2</v>
      </c>
      <c r="D29" s="546">
        <v>519.29999999999995</v>
      </c>
      <c r="E29" s="546">
        <v>216.9</v>
      </c>
      <c r="F29" s="546">
        <v>234.9</v>
      </c>
      <c r="G29" s="546">
        <v>229.3</v>
      </c>
      <c r="H29" s="546">
        <v>195.19900000000001</v>
      </c>
      <c r="I29" s="546">
        <v>252.601</v>
      </c>
      <c r="J29" s="546">
        <v>270.3</v>
      </c>
      <c r="K29" s="546">
        <v>248.4</v>
      </c>
      <c r="L29" s="546">
        <v>206.2</v>
      </c>
      <c r="M29" s="546">
        <v>164</v>
      </c>
      <c r="N29" s="560">
        <f t="shared" si="0"/>
        <v>2946.8</v>
      </c>
    </row>
    <row r="30" spans="1:16" x14ac:dyDescent="0.3">
      <c r="A30" s="545" t="s">
        <v>502</v>
      </c>
      <c r="B30" s="546">
        <v>29.711474946193</v>
      </c>
      <c r="C30" s="546">
        <v>28.173140936988698</v>
      </c>
      <c r="D30" s="546">
        <v>28.187727347117399</v>
      </c>
      <c r="E30" s="546">
        <v>29.862675576266799</v>
      </c>
      <c r="F30" s="546">
        <v>56.217849982126701</v>
      </c>
      <c r="G30" s="546">
        <v>29.5513799807715</v>
      </c>
      <c r="H30" s="546">
        <v>29.168575286802898</v>
      </c>
      <c r="I30" s="546">
        <v>33.3612823522243</v>
      </c>
      <c r="J30" s="546">
        <v>41.5567170256097</v>
      </c>
      <c r="K30" s="546">
        <v>67.551144363981379</v>
      </c>
      <c r="L30" s="546">
        <v>46.936616416097102</v>
      </c>
      <c r="M30" s="546">
        <v>65.991820441577602</v>
      </c>
      <c r="N30" s="560">
        <f t="shared" si="0"/>
        <v>486.27040465575709</v>
      </c>
    </row>
    <row r="31" spans="1:16" x14ac:dyDescent="0.3">
      <c r="A31" s="548" t="s">
        <v>499</v>
      </c>
      <c r="B31" s="805">
        <f>AVERAGE($F$31:$M$31)</f>
        <v>249.45000000000013</v>
      </c>
      <c r="C31" s="805">
        <f t="shared" ref="C31:E31" si="1">AVERAGE($F$31:$M$31)</f>
        <v>249.45000000000013</v>
      </c>
      <c r="D31" s="805">
        <f t="shared" si="1"/>
        <v>249.45000000000013</v>
      </c>
      <c r="E31" s="805">
        <f t="shared" si="1"/>
        <v>249.45000000000013</v>
      </c>
      <c r="F31" s="546">
        <v>276.10000000000008</v>
      </c>
      <c r="G31" s="546">
        <v>295.49999999999949</v>
      </c>
      <c r="H31" s="546">
        <v>264.80000000000018</v>
      </c>
      <c r="I31" s="546">
        <v>194.90000000000111</v>
      </c>
      <c r="J31" s="546">
        <v>250.2</v>
      </c>
      <c r="K31" s="546">
        <v>253.2</v>
      </c>
      <c r="L31" s="546">
        <v>253.2</v>
      </c>
      <c r="M31" s="546">
        <v>207.7</v>
      </c>
      <c r="N31" s="560">
        <f t="shared" si="0"/>
        <v>2993.4000000000005</v>
      </c>
      <c r="P31" s="146" t="s">
        <v>1395</v>
      </c>
    </row>
    <row r="32" spans="1:16" x14ac:dyDescent="0.3">
      <c r="A32" s="545" t="s">
        <v>463</v>
      </c>
      <c r="B32" s="546">
        <v>65.99867368421053</v>
      </c>
      <c r="C32" s="546">
        <v>59.611705263157887</v>
      </c>
      <c r="D32" s="546">
        <v>56.779482168106831</v>
      </c>
      <c r="E32" s="546">
        <v>42.594626865671643</v>
      </c>
      <c r="F32" s="546">
        <v>42.257258193568241</v>
      </c>
      <c r="G32" s="546">
        <v>35.063814432989687</v>
      </c>
      <c r="H32" s="546">
        <v>36.232608247422682</v>
      </c>
      <c r="I32" s="546">
        <v>36.232608247422682</v>
      </c>
      <c r="J32" s="546">
        <v>9.6475961538461537</v>
      </c>
      <c r="K32" s="546">
        <v>9.9691826923076938</v>
      </c>
      <c r="L32" s="546">
        <v>9.6475961538461537</v>
      </c>
      <c r="M32" s="546">
        <v>42.502435526315793</v>
      </c>
      <c r="N32" s="560">
        <f t="shared" si="0"/>
        <v>446.53758762886594</v>
      </c>
    </row>
    <row r="33" spans="1:16" x14ac:dyDescent="0.3">
      <c r="A33" s="550" t="s">
        <v>460</v>
      </c>
      <c r="B33" s="546">
        <v>74.3</v>
      </c>
      <c r="C33" s="546">
        <v>104.12</v>
      </c>
      <c r="D33" s="546">
        <v>117.03</v>
      </c>
      <c r="E33" s="551"/>
      <c r="F33" s="551"/>
      <c r="G33" s="551"/>
      <c r="H33" s="551"/>
      <c r="I33" s="551"/>
      <c r="J33" s="551"/>
      <c r="K33" s="551"/>
      <c r="L33" s="551"/>
      <c r="M33" s="551"/>
      <c r="N33" s="560">
        <f t="shared" si="0"/>
        <v>295.45000000000005</v>
      </c>
      <c r="P33" s="374" t="s">
        <v>1396</v>
      </c>
    </row>
    <row r="34" spans="1:16" x14ac:dyDescent="0.3">
      <c r="A34" s="552" t="s">
        <v>456</v>
      </c>
      <c r="B34" s="553">
        <f>'[25]2024 Raw Water'!G23</f>
        <v>999.58299999999997</v>
      </c>
      <c r="C34" s="553">
        <f>'[25]2024 Raw Water'!H23</f>
        <v>999.58299999999997</v>
      </c>
      <c r="D34" s="553">
        <f>'[25]2024 Raw Water'!I23</f>
        <v>999.58299999999997</v>
      </c>
      <c r="E34" s="553">
        <f>'[25]2024 Raw Water'!J23</f>
        <v>999.58299999999997</v>
      </c>
      <c r="F34" s="553">
        <f>'[25]2024 Raw Water'!K23</f>
        <v>999.58299999999997</v>
      </c>
      <c r="G34" s="553">
        <f>'[25]2024 Raw Water'!L23</f>
        <v>999.58299999999997</v>
      </c>
      <c r="H34" s="553">
        <f>'[25]2024 Raw Water'!M23</f>
        <v>999.58299999999997</v>
      </c>
      <c r="I34" s="553">
        <f>'[25]2024 Raw Water'!N23</f>
        <v>999.58299999999997</v>
      </c>
      <c r="J34" s="553">
        <f>'[25]2024 Raw Water'!O23</f>
        <v>999.58299999999997</v>
      </c>
      <c r="K34" s="553">
        <f>'[25]2024 Raw Water'!P23</f>
        <v>999.58299999999997</v>
      </c>
      <c r="L34" s="553">
        <f>'[25]2024 Raw Water'!Q23</f>
        <v>999.58299999999997</v>
      </c>
      <c r="M34" s="553">
        <f>'[25]2024 Raw Water'!R23</f>
        <v>999.58299999999997</v>
      </c>
      <c r="N34" s="804">
        <f t="shared" si="0"/>
        <v>11994.996000000001</v>
      </c>
      <c r="P34" s="146" t="s">
        <v>1397</v>
      </c>
    </row>
    <row r="35" spans="1:16" x14ac:dyDescent="0.3">
      <c r="A35" s="552" t="s">
        <v>518</v>
      </c>
      <c r="B35" s="553">
        <f>($B$64*$D$66)/12</f>
        <v>628.83556001057843</v>
      </c>
      <c r="C35" s="553">
        <f t="shared" ref="C35:M35" si="2">($B$64*$D$66)/12</f>
        <v>628.83556001057843</v>
      </c>
      <c r="D35" s="553">
        <f t="shared" si="2"/>
        <v>628.83556001057843</v>
      </c>
      <c r="E35" s="553">
        <f t="shared" si="2"/>
        <v>628.83556001057843</v>
      </c>
      <c r="F35" s="553">
        <f t="shared" si="2"/>
        <v>628.83556001057843</v>
      </c>
      <c r="G35" s="553">
        <f t="shared" si="2"/>
        <v>628.83556001057843</v>
      </c>
      <c r="H35" s="553">
        <f t="shared" si="2"/>
        <v>628.83556001057843</v>
      </c>
      <c r="I35" s="553">
        <f t="shared" si="2"/>
        <v>628.83556001057843</v>
      </c>
      <c r="J35" s="553">
        <f t="shared" si="2"/>
        <v>628.83556001057843</v>
      </c>
      <c r="K35" s="553">
        <f t="shared" si="2"/>
        <v>628.83556001057843</v>
      </c>
      <c r="L35" s="553">
        <f t="shared" si="2"/>
        <v>628.83556001057843</v>
      </c>
      <c r="M35" s="553">
        <f t="shared" si="2"/>
        <v>628.83556001057843</v>
      </c>
      <c r="N35" s="804">
        <f t="shared" si="0"/>
        <v>7546.0267201269426</v>
      </c>
      <c r="P35" s="146" t="s">
        <v>1398</v>
      </c>
    </row>
    <row r="36" spans="1:16" x14ac:dyDescent="0.3">
      <c r="A36" s="545" t="s">
        <v>968</v>
      </c>
      <c r="B36" s="546">
        <v>182.001</v>
      </c>
      <c r="C36" s="546">
        <v>279.29899999999998</v>
      </c>
      <c r="D36" s="546">
        <v>478.202</v>
      </c>
      <c r="E36" s="546">
        <v>334.79899999999998</v>
      </c>
      <c r="F36" s="546">
        <v>389.5</v>
      </c>
      <c r="G36" s="546">
        <v>432.30099999999999</v>
      </c>
      <c r="H36" s="546">
        <v>266.69900000000001</v>
      </c>
      <c r="I36" s="546">
        <v>216.101</v>
      </c>
      <c r="J36" s="546">
        <v>297.40100000000001</v>
      </c>
      <c r="K36" s="546">
        <v>266.60000000000002</v>
      </c>
      <c r="L36" s="546">
        <v>365.8</v>
      </c>
      <c r="M36" s="546">
        <v>245</v>
      </c>
      <c r="N36" s="560">
        <f t="shared" si="0"/>
        <v>3753.703</v>
      </c>
    </row>
    <row r="37" spans="1:16" x14ac:dyDescent="0.3">
      <c r="A37" s="545" t="s">
        <v>461</v>
      </c>
      <c r="B37" s="546">
        <v>122</v>
      </c>
      <c r="C37" s="546">
        <v>129</v>
      </c>
      <c r="D37" s="546">
        <v>119</v>
      </c>
      <c r="E37" s="546">
        <v>22</v>
      </c>
      <c r="F37" s="546">
        <v>67</v>
      </c>
      <c r="G37" s="546">
        <v>105</v>
      </c>
      <c r="H37" s="546">
        <v>116</v>
      </c>
      <c r="I37" s="546">
        <v>116</v>
      </c>
      <c r="J37" s="546">
        <v>114</v>
      </c>
      <c r="K37" s="546">
        <v>144</v>
      </c>
      <c r="L37" s="546">
        <v>124</v>
      </c>
      <c r="M37" s="546">
        <v>113</v>
      </c>
      <c r="N37" s="560">
        <f t="shared" si="0"/>
        <v>1291</v>
      </c>
    </row>
    <row r="38" spans="1:16" x14ac:dyDescent="0.3">
      <c r="A38" s="545" t="s">
        <v>462</v>
      </c>
      <c r="B38" s="546">
        <v>0.59000000357627802</v>
      </c>
      <c r="C38" s="546">
        <v>208.72999968007201</v>
      </c>
      <c r="D38" s="546">
        <v>137.979999966919</v>
      </c>
      <c r="E38" s="546">
        <v>55.520000020041998</v>
      </c>
      <c r="F38" s="546">
        <v>185.66000027023199</v>
      </c>
      <c r="G38" s="546">
        <v>136.92000049725101</v>
      </c>
      <c r="H38" s="546">
        <v>127.930000284686</v>
      </c>
      <c r="I38" s="546">
        <v>62.320000272244201</v>
      </c>
      <c r="J38" s="546">
        <v>67.770000047981696</v>
      </c>
      <c r="K38" s="546">
        <v>37.869999799877398</v>
      </c>
      <c r="L38" s="546">
        <v>38.969999961554997</v>
      </c>
      <c r="M38" s="546">
        <v>24.4899999685585</v>
      </c>
      <c r="N38" s="560">
        <f t="shared" si="0"/>
        <v>1084.7500007729952</v>
      </c>
    </row>
    <row r="39" spans="1:16" x14ac:dyDescent="0.3">
      <c r="A39" s="552" t="s">
        <v>515</v>
      </c>
      <c r="B39" s="553">
        <f>'[25]2024 Raw Water'!G24</f>
        <v>41.65</v>
      </c>
      <c r="C39" s="553">
        <f>'[25]2024 Raw Water'!H24</f>
        <v>41.65</v>
      </c>
      <c r="D39" s="553">
        <f>'[25]2024 Raw Water'!I24</f>
        <v>41.65</v>
      </c>
      <c r="E39" s="553">
        <f>'[25]2024 Raw Water'!J24</f>
        <v>41.65</v>
      </c>
      <c r="F39" s="553">
        <f>'[25]2024 Raw Water'!K24</f>
        <v>41.65</v>
      </c>
      <c r="G39" s="553">
        <f>'[25]2024 Raw Water'!L24</f>
        <v>41.65</v>
      </c>
      <c r="H39" s="553">
        <f>'[25]2024 Raw Water'!M24</f>
        <v>41.65</v>
      </c>
      <c r="I39" s="553">
        <f>'[25]2024 Raw Water'!N24</f>
        <v>41.65</v>
      </c>
      <c r="J39" s="553">
        <f>'[25]2024 Raw Water'!O24</f>
        <v>41.65</v>
      </c>
      <c r="K39" s="553">
        <f>'[25]2024 Raw Water'!P24</f>
        <v>41.65</v>
      </c>
      <c r="L39" s="553">
        <f>'[25]2024 Raw Water'!Q24</f>
        <v>41.65</v>
      </c>
      <c r="M39" s="553">
        <f>'[25]2024 Raw Water'!R24</f>
        <v>41.65</v>
      </c>
      <c r="N39" s="560">
        <f t="shared" si="0"/>
        <v>499.7999999999999</v>
      </c>
      <c r="P39" s="146" t="s">
        <v>1397</v>
      </c>
    </row>
    <row r="40" spans="1:16" x14ac:dyDescent="0.3">
      <c r="A40" s="552" t="s">
        <v>516</v>
      </c>
      <c r="B40" s="553">
        <f>'[25]2024 Raw Water'!G28</f>
        <v>65.94</v>
      </c>
      <c r="C40" s="553">
        <f>'[25]2024 Raw Water'!H28</f>
        <v>65.94</v>
      </c>
      <c r="D40" s="553">
        <f>'[25]2024 Raw Water'!I28</f>
        <v>65.94</v>
      </c>
      <c r="E40" s="553">
        <f>'[25]2024 Raw Water'!J28</f>
        <v>65.94</v>
      </c>
      <c r="F40" s="553">
        <f>'[25]2024 Raw Water'!K28</f>
        <v>65.94</v>
      </c>
      <c r="G40" s="553">
        <f>'[25]2024 Raw Water'!L28</f>
        <v>65.94</v>
      </c>
      <c r="H40" s="553">
        <f>'[25]2024 Raw Water'!M28</f>
        <v>65.94</v>
      </c>
      <c r="I40" s="553">
        <f>'[25]2024 Raw Water'!N28</f>
        <v>65.94</v>
      </c>
      <c r="J40" s="553">
        <f>'[25]2024 Raw Water'!O28</f>
        <v>65.94</v>
      </c>
      <c r="K40" s="553">
        <f>'[25]2024 Raw Water'!P28</f>
        <v>65.94</v>
      </c>
      <c r="L40" s="553">
        <f>'[25]2024 Raw Water'!Q28</f>
        <v>65.94</v>
      </c>
      <c r="M40" s="553">
        <f>'[25]2024 Raw Water'!R28</f>
        <v>65.94</v>
      </c>
      <c r="N40" s="560">
        <f t="shared" si="0"/>
        <v>791.2800000000002</v>
      </c>
      <c r="P40" s="146" t="s">
        <v>1397</v>
      </c>
    </row>
    <row r="41" spans="1:16" x14ac:dyDescent="0.3">
      <c r="A41" s="552" t="s">
        <v>839</v>
      </c>
      <c r="B41" s="553">
        <f>'[25]2024 Raw Water'!G31</f>
        <v>17.010000000000002</v>
      </c>
      <c r="C41" s="553">
        <f>'[25]2024 Raw Water'!H31</f>
        <v>17.010000000000002</v>
      </c>
      <c r="D41" s="553">
        <f>'[25]2024 Raw Water'!I31</f>
        <v>17.010000000000002</v>
      </c>
      <c r="E41" s="553">
        <f>'[25]2024 Raw Water'!J31</f>
        <v>17.010000000000002</v>
      </c>
      <c r="F41" s="553">
        <f>'[25]2024 Raw Water'!K31</f>
        <v>17.010000000000002</v>
      </c>
      <c r="G41" s="553">
        <f>'[25]2024 Raw Water'!L31</f>
        <v>17.010000000000002</v>
      </c>
      <c r="H41" s="553">
        <f>'[25]2024 Raw Water'!M31</f>
        <v>17.010000000000002</v>
      </c>
      <c r="I41" s="553">
        <f>'[25]2024 Raw Water'!N31</f>
        <v>17.010000000000002</v>
      </c>
      <c r="J41" s="553">
        <f>'[25]2024 Raw Water'!O31</f>
        <v>17.010000000000002</v>
      </c>
      <c r="K41" s="553">
        <f>'[25]2024 Raw Water'!P31</f>
        <v>17.010000000000002</v>
      </c>
      <c r="L41" s="553">
        <f>'[25]2024 Raw Water'!Q31</f>
        <v>17.010000000000002</v>
      </c>
      <c r="M41" s="553">
        <f>'[25]2024 Raw Water'!R31</f>
        <v>17.010000000000002</v>
      </c>
      <c r="N41" s="560">
        <f t="shared" si="0"/>
        <v>204.11999999999998</v>
      </c>
      <c r="P41" s="146" t="s">
        <v>1397</v>
      </c>
    </row>
    <row r="42" spans="1:16" x14ac:dyDescent="0.3">
      <c r="A42" s="545" t="s">
        <v>514</v>
      </c>
      <c r="B42" s="546">
        <v>27.414450757575761</v>
      </c>
      <c r="C42" s="546">
        <v>24.761439393939391</v>
      </c>
      <c r="D42" s="546">
        <v>27.414450757575761</v>
      </c>
      <c r="E42" s="546">
        <v>26.530113636363641</v>
      </c>
      <c r="F42" s="546">
        <v>27.414450757575761</v>
      </c>
      <c r="G42" s="546">
        <v>26.530113636363641</v>
      </c>
      <c r="H42" s="546">
        <v>27.414450757575761</v>
      </c>
      <c r="I42" s="546">
        <v>27.414450757575761</v>
      </c>
      <c r="J42" s="546">
        <v>26.530113636363641</v>
      </c>
      <c r="K42" s="546">
        <v>38.564762295081962</v>
      </c>
      <c r="L42" s="546">
        <v>37.320737704918031</v>
      </c>
      <c r="M42" s="546">
        <v>31.730700384997512</v>
      </c>
      <c r="N42" s="560">
        <f t="shared" si="0"/>
        <v>349.04023447590663</v>
      </c>
    </row>
    <row r="43" spans="1:16" x14ac:dyDescent="0.3">
      <c r="A43" s="545" t="s">
        <v>500</v>
      </c>
      <c r="B43" s="546">
        <v>557</v>
      </c>
      <c r="C43" s="546">
        <v>398</v>
      </c>
      <c r="D43" s="546">
        <v>523</v>
      </c>
      <c r="E43" s="546">
        <v>555</v>
      </c>
      <c r="F43" s="546">
        <v>506</v>
      </c>
      <c r="G43" s="546">
        <v>435</v>
      </c>
      <c r="H43" s="546">
        <v>460</v>
      </c>
      <c r="I43" s="546">
        <v>416</v>
      </c>
      <c r="J43" s="556">
        <v>487</v>
      </c>
      <c r="K43" s="546">
        <v>572</v>
      </c>
      <c r="L43" s="546">
        <v>474</v>
      </c>
      <c r="M43" s="546">
        <v>466</v>
      </c>
      <c r="N43" s="560">
        <f t="shared" si="0"/>
        <v>5849</v>
      </c>
    </row>
    <row r="44" spans="1:16" x14ac:dyDescent="0.3">
      <c r="A44" s="552" t="s">
        <v>837</v>
      </c>
      <c r="B44" s="553">
        <f>'[25]2024 Raw Water'!G33</f>
        <v>2702.7910000000002</v>
      </c>
      <c r="C44" s="553">
        <f>'[25]2024 Raw Water'!H33</f>
        <v>2702.7910000000002</v>
      </c>
      <c r="D44" s="553">
        <f>'[25]2024 Raw Water'!I33</f>
        <v>2702.7910000000002</v>
      </c>
      <c r="E44" s="553">
        <f>'[25]2024 Raw Water'!J33</f>
        <v>2702.7910000000002</v>
      </c>
      <c r="F44" s="553">
        <f>'[25]2024 Raw Water'!K33</f>
        <v>2702.7910000000002</v>
      </c>
      <c r="G44" s="553">
        <f>'[25]2024 Raw Water'!L33</f>
        <v>2702.7910000000002</v>
      </c>
      <c r="H44" s="553">
        <f>'[25]2024 Raw Water'!M33</f>
        <v>2702.7910000000002</v>
      </c>
      <c r="I44" s="553">
        <f>'[25]2024 Raw Water'!N33</f>
        <v>2702.7910000000002</v>
      </c>
      <c r="J44" s="553">
        <f>'[25]2024 Raw Water'!O33</f>
        <v>2702.7910000000002</v>
      </c>
      <c r="K44" s="553">
        <f>'[25]2024 Raw Water'!P33</f>
        <v>2702.7910000000002</v>
      </c>
      <c r="L44" s="553">
        <f>'[25]2024 Raw Water'!Q33</f>
        <v>2702.7910000000002</v>
      </c>
      <c r="M44" s="553">
        <f>'[25]2024 Raw Water'!R33</f>
        <v>2702.7910000000002</v>
      </c>
      <c r="N44" s="804">
        <f t="shared" si="0"/>
        <v>32433.492000000009</v>
      </c>
      <c r="P44" s="146" t="s">
        <v>1397</v>
      </c>
    </row>
    <row r="45" spans="1:16" x14ac:dyDescent="0.3">
      <c r="A45" s="561" t="s">
        <v>1165</v>
      </c>
      <c r="B45" s="562">
        <f>SUM(B27:B44)</f>
        <v>6324.5776848933965</v>
      </c>
      <c r="C45" s="562">
        <f t="shared" ref="C45:M45" si="3">SUM(C27:C44)</f>
        <v>6495.171704467135</v>
      </c>
      <c r="D45" s="562">
        <f t="shared" si="3"/>
        <v>7130.6964929885407</v>
      </c>
      <c r="E45" s="562">
        <f t="shared" si="3"/>
        <v>6418.5423007221934</v>
      </c>
      <c r="F45" s="562">
        <f t="shared" si="3"/>
        <v>6718.6602688441453</v>
      </c>
      <c r="G45" s="562">
        <f t="shared" si="3"/>
        <v>6610.488488769397</v>
      </c>
      <c r="H45" s="562">
        <f t="shared" si="3"/>
        <v>6411.1726193464929</v>
      </c>
      <c r="I45" s="562">
        <f t="shared" si="3"/>
        <v>6228.3516195849588</v>
      </c>
      <c r="J45" s="562">
        <f t="shared" si="3"/>
        <v>6460.4672700798637</v>
      </c>
      <c r="K45" s="562">
        <f t="shared" si="3"/>
        <v>6642.5885046146068</v>
      </c>
      <c r="L45" s="562">
        <f t="shared" si="3"/>
        <v>6543.9788939244781</v>
      </c>
      <c r="M45" s="562">
        <f t="shared" si="3"/>
        <v>6284.3246962440899</v>
      </c>
      <c r="N45" s="562">
        <f>SUM(N27:N44)</f>
        <v>78269.02054447931</v>
      </c>
    </row>
    <row r="48" spans="1:16" ht="15" customHeight="1" x14ac:dyDescent="0.3">
      <c r="A48" s="563" t="s">
        <v>1399</v>
      </c>
      <c r="H48" s="146" t="s">
        <v>1224</v>
      </c>
      <c r="I48" s="146" t="s">
        <v>1400</v>
      </c>
      <c r="J48" s="146" t="s">
        <v>1401</v>
      </c>
      <c r="K48" s="146" t="s">
        <v>1402</v>
      </c>
    </row>
    <row r="49" spans="1:15" ht="15" customHeight="1" x14ac:dyDescent="0.3">
      <c r="A49" s="564" t="s">
        <v>1065</v>
      </c>
      <c r="B49" s="564" t="s">
        <v>1403</v>
      </c>
      <c r="C49" s="564" t="s">
        <v>1404</v>
      </c>
      <c r="D49" s="564" t="s">
        <v>1405</v>
      </c>
      <c r="G49" s="545" t="s">
        <v>453</v>
      </c>
      <c r="H49" s="146" t="s">
        <v>864</v>
      </c>
      <c r="I49" s="565">
        <v>14819</v>
      </c>
      <c r="J49" s="560">
        <v>880.55459681882587</v>
      </c>
      <c r="K49" s="592">
        <v>666.88856006238393</v>
      </c>
      <c r="M49" s="146" t="s">
        <v>1406</v>
      </c>
      <c r="N49" s="146">
        <v>2025</v>
      </c>
      <c r="O49" s="146">
        <v>2024</v>
      </c>
    </row>
    <row r="50" spans="1:15" ht="15" customHeight="1" x14ac:dyDescent="0.3">
      <c r="A50" s="566" t="s">
        <v>497</v>
      </c>
      <c r="B50" s="567">
        <f>_xlfn.XLOOKUP(A50,'[26]Asset list'!$B$3:$B$22,'[26]Asset list'!$I$3:$I$22)</f>
        <v>18145.758857142857</v>
      </c>
      <c r="C50" s="567">
        <f>SUMIF($A$27:$A$44,A50,$N$27:$N$44)</f>
        <v>2946.8</v>
      </c>
      <c r="D50" s="567">
        <f>C50/B50</f>
        <v>0.16239607410191215</v>
      </c>
      <c r="G50" s="545" t="s">
        <v>981</v>
      </c>
      <c r="H50" s="146" t="s">
        <v>1159</v>
      </c>
      <c r="I50" s="568">
        <v>13745</v>
      </c>
      <c r="J50" s="560">
        <v>4422.8</v>
      </c>
      <c r="K50" s="146">
        <v>1655</v>
      </c>
      <c r="M50" s="569" t="s">
        <v>655</v>
      </c>
      <c r="N50" s="546">
        <f>SUM(J49:J66)</f>
        <v>78305.482956850436</v>
      </c>
      <c r="O50" s="565">
        <v>65245</v>
      </c>
    </row>
    <row r="51" spans="1:15" ht="15" customHeight="1" x14ac:dyDescent="0.3">
      <c r="A51" s="566" t="s">
        <v>502</v>
      </c>
      <c r="B51" s="567">
        <v>6649.3174999999992</v>
      </c>
      <c r="C51" s="567">
        <f t="shared" ref="C51:C63" si="4">SUMIF($A$27:$A$44,A51,$N$27:$N$44)</f>
        <v>486.27040465575709</v>
      </c>
      <c r="D51" s="567">
        <f t="shared" ref="D51:D63" si="5">C51/B51</f>
        <v>7.3130874658302467E-2</v>
      </c>
      <c r="G51" s="545" t="s">
        <v>497</v>
      </c>
      <c r="H51" s="146" t="s">
        <v>864</v>
      </c>
      <c r="I51" s="568">
        <v>18146</v>
      </c>
      <c r="J51" s="560">
        <v>2946.8</v>
      </c>
      <c r="K51" s="146">
        <v>3024.2010000000005</v>
      </c>
      <c r="L51" s="570">
        <v>5.0999999999999997E-2</v>
      </c>
      <c r="M51" s="569" t="s">
        <v>651</v>
      </c>
      <c r="N51" s="546">
        <f>N50-(N10+J57)</f>
        <v>70464.006236723493</v>
      </c>
      <c r="O51" s="565">
        <f>O50-SUM(K55,K67,K68)</f>
        <v>61715.57799964014</v>
      </c>
    </row>
    <row r="52" spans="1:15" ht="15" customHeight="1" x14ac:dyDescent="0.3">
      <c r="A52" s="566" t="s">
        <v>499</v>
      </c>
      <c r="B52" s="567">
        <f>_xlfn.XLOOKUP(A52,'[26]Asset list'!$B$3:$B$22,'[26]Asset list'!$I$3:$I$22)</f>
        <v>8705.8912500000006</v>
      </c>
      <c r="C52" s="567">
        <f>SUMIF($A$27:$A$44,A52,$N$27:$N$44)</f>
        <v>2993.4000000000005</v>
      </c>
      <c r="D52" s="567">
        <f t="shared" si="5"/>
        <v>0.34383613509989575</v>
      </c>
      <c r="G52" s="545" t="s">
        <v>502</v>
      </c>
      <c r="H52" s="146" t="s">
        <v>864</v>
      </c>
      <c r="I52" s="568">
        <v>6649</v>
      </c>
      <c r="J52" s="560">
        <v>486.27040465575709</v>
      </c>
      <c r="K52" s="591">
        <v>342.46546212355116</v>
      </c>
      <c r="M52" s="569" t="s">
        <v>652</v>
      </c>
      <c r="N52" s="571">
        <f>SUM(J49:J66)/SUM(I49:I66)</f>
        <v>0.52757610211790762</v>
      </c>
      <c r="O52" s="569">
        <v>0.435</v>
      </c>
    </row>
    <row r="53" spans="1:15" ht="15" customHeight="1" x14ac:dyDescent="0.3">
      <c r="A53" s="566" t="s">
        <v>463</v>
      </c>
      <c r="B53" s="567">
        <f>_xlfn.XLOOKUP(A53,'[26]Asset list'!$B$3:$B$22,'[26]Asset list'!$I$3:$I$22)</f>
        <v>508.85974999999996</v>
      </c>
      <c r="C53" s="567">
        <f t="shared" si="4"/>
        <v>446.53758762886594</v>
      </c>
      <c r="D53" s="567">
        <f t="shared" si="5"/>
        <v>0.87752585585491083</v>
      </c>
      <c r="G53" s="548" t="s">
        <v>499</v>
      </c>
      <c r="H53" s="146" t="s">
        <v>864</v>
      </c>
      <c r="I53" s="568">
        <v>8706</v>
      </c>
      <c r="J53" s="560">
        <v>2993.4000000000005</v>
      </c>
      <c r="K53" s="146">
        <v>1872</v>
      </c>
    </row>
    <row r="54" spans="1:15" ht="15" customHeight="1" x14ac:dyDescent="0.3">
      <c r="A54" s="566" t="s">
        <v>460</v>
      </c>
      <c r="B54" s="567">
        <f>_xlfn.XLOOKUP(A54,'[26]Asset list'!$B$3:$B$22,'[26]Asset list'!$I$3:$I$22)</f>
        <v>6951.3586250000008</v>
      </c>
      <c r="C54" s="567">
        <f t="shared" si="4"/>
        <v>295.45000000000005</v>
      </c>
      <c r="D54" s="567">
        <f t="shared" si="5"/>
        <v>4.2502482743076719E-2</v>
      </c>
      <c r="G54" s="545" t="s">
        <v>463</v>
      </c>
      <c r="H54" s="146" t="s">
        <v>864</v>
      </c>
      <c r="I54" s="572">
        <v>509</v>
      </c>
      <c r="J54" s="778">
        <v>483</v>
      </c>
      <c r="K54" s="146">
        <v>130.65299999999999</v>
      </c>
    </row>
    <row r="55" spans="1:15" ht="15" customHeight="1" x14ac:dyDescent="0.3">
      <c r="A55" s="566" t="s">
        <v>456</v>
      </c>
      <c r="B55" s="567">
        <f>_xlfn.XLOOKUP(A55,'[26]Asset list'!$B$3:$B$22,'[26]Asset list'!$I$3:$I$22)</f>
        <v>7865.9591249999994</v>
      </c>
      <c r="C55" s="567">
        <f t="shared" si="4"/>
        <v>11994.996000000001</v>
      </c>
      <c r="D55" s="567">
        <f t="shared" si="5"/>
        <v>1.5249247815027265</v>
      </c>
      <c r="G55" s="550" t="s">
        <v>460</v>
      </c>
      <c r="H55" s="573" t="s">
        <v>864</v>
      </c>
      <c r="I55" s="574">
        <v>6951</v>
      </c>
      <c r="J55" s="575">
        <v>295.45000000000005</v>
      </c>
      <c r="K55" s="146">
        <v>1246.650000359863</v>
      </c>
      <c r="M55" s="146" t="s">
        <v>1407</v>
      </c>
      <c r="N55" s="146">
        <v>2025</v>
      </c>
      <c r="O55" s="146">
        <v>2024</v>
      </c>
    </row>
    <row r="56" spans="1:15" ht="15" customHeight="1" x14ac:dyDescent="0.3">
      <c r="A56" s="566" t="s">
        <v>461</v>
      </c>
      <c r="B56" s="567">
        <f>_xlfn.XLOOKUP(A56,'[26]Asset list'!$B$3:$B$22,'[26]Asset list'!$I$3:$I$22)</f>
        <v>5060.4952499999999</v>
      </c>
      <c r="C56" s="567">
        <f t="shared" si="4"/>
        <v>1291</v>
      </c>
      <c r="D56" s="567">
        <f t="shared" si="5"/>
        <v>0.25511337057375955</v>
      </c>
      <c r="G56" s="552" t="s">
        <v>456</v>
      </c>
      <c r="H56" s="554" t="s">
        <v>871</v>
      </c>
      <c r="I56" s="576">
        <v>7866</v>
      </c>
      <c r="J56" s="577">
        <v>11994.996000000001</v>
      </c>
      <c r="K56" s="146">
        <v>11994.996000000001</v>
      </c>
      <c r="M56" s="569" t="s">
        <v>655</v>
      </c>
      <c r="N56" s="571">
        <f>SUMIF(H49:H66, "Managed", J49:J66)</f>
        <v>16310.22500224758</v>
      </c>
      <c r="O56" s="565">
        <v>13210</v>
      </c>
    </row>
    <row r="57" spans="1:15" ht="15" customHeight="1" x14ac:dyDescent="0.3">
      <c r="A57" s="566" t="s">
        <v>462</v>
      </c>
      <c r="B57" s="567">
        <f>_xlfn.XLOOKUP(A57,'[26]Asset list'!$B$3:$B$22,'[26]Asset list'!$I$3:$I$22)</f>
        <v>5198.3356249999997</v>
      </c>
      <c r="C57" s="567">
        <f t="shared" si="4"/>
        <v>1084.7500007729952</v>
      </c>
      <c r="D57" s="567">
        <f t="shared" si="5"/>
        <v>0.20867255964701112</v>
      </c>
      <c r="G57" s="552" t="s">
        <v>518</v>
      </c>
      <c r="H57" s="554" t="s">
        <v>1159</v>
      </c>
      <c r="I57" s="576">
        <v>16531</v>
      </c>
      <c r="J57" s="577">
        <v>7546.0267201269426</v>
      </c>
      <c r="M57" s="569" t="s">
        <v>651</v>
      </c>
      <c r="N57" s="546">
        <f>N56-J55</f>
        <v>16014.775002247579</v>
      </c>
      <c r="O57" s="565">
        <v>13210</v>
      </c>
    </row>
    <row r="58" spans="1:15" ht="15" customHeight="1" x14ac:dyDescent="0.3">
      <c r="A58" s="566" t="s">
        <v>515</v>
      </c>
      <c r="B58" s="567">
        <v>2579.3685</v>
      </c>
      <c r="C58" s="567">
        <f t="shared" si="4"/>
        <v>499.7999999999999</v>
      </c>
      <c r="D58" s="567">
        <f t="shared" si="5"/>
        <v>0.19376835841796156</v>
      </c>
      <c r="G58" s="545" t="s">
        <v>968</v>
      </c>
      <c r="H58" s="146" t="s">
        <v>871</v>
      </c>
      <c r="I58" s="568">
        <v>1662</v>
      </c>
      <c r="J58" s="560">
        <v>3753.703</v>
      </c>
      <c r="K58" s="146">
        <v>2004.9010000000003</v>
      </c>
      <c r="M58" s="569" t="s">
        <v>652</v>
      </c>
      <c r="N58" s="571">
        <f>N56/SUMIF(H49:H66, "Managed", I49:I66)</f>
        <v>0.21428960890055024</v>
      </c>
      <c r="O58" s="569">
        <v>0.17399999999999999</v>
      </c>
    </row>
    <row r="59" spans="1:15" ht="15" customHeight="1" x14ac:dyDescent="0.3">
      <c r="A59" s="566" t="s">
        <v>516</v>
      </c>
      <c r="B59" s="567">
        <v>6259.4858750000003</v>
      </c>
      <c r="C59" s="567">
        <f t="shared" si="4"/>
        <v>791.2800000000002</v>
      </c>
      <c r="D59" s="567">
        <f t="shared" si="5"/>
        <v>0.12641293802743825</v>
      </c>
      <c r="G59" s="545" t="s">
        <v>461</v>
      </c>
      <c r="H59" s="146" t="s">
        <v>864</v>
      </c>
      <c r="I59" s="565">
        <v>5060</v>
      </c>
      <c r="J59" s="560">
        <v>1291</v>
      </c>
      <c r="K59" s="146">
        <v>1371</v>
      </c>
    </row>
    <row r="60" spans="1:15" ht="15" customHeight="1" x14ac:dyDescent="0.3">
      <c r="A60" s="566" t="s">
        <v>839</v>
      </c>
      <c r="B60" s="567">
        <f>_xlfn.XLOOKUP(A60,'[26]Asset list'!$B$3:$B$22,'[26]Asset list'!$I$3:$I$22)</f>
        <v>1313.606</v>
      </c>
      <c r="C60" s="567">
        <f t="shared" si="4"/>
        <v>204.11999999999998</v>
      </c>
      <c r="D60" s="567">
        <f t="shared" si="5"/>
        <v>0.15538905881976786</v>
      </c>
      <c r="G60" s="545" t="s">
        <v>462</v>
      </c>
      <c r="H60" s="146" t="s">
        <v>864</v>
      </c>
      <c r="I60" s="565">
        <v>5198</v>
      </c>
      <c r="J60" s="560">
        <v>1084.7500007729952</v>
      </c>
      <c r="K60" s="146">
        <v>1691.7899997349821</v>
      </c>
    </row>
    <row r="61" spans="1:15" ht="15" customHeight="1" x14ac:dyDescent="0.3">
      <c r="A61" s="566" t="s">
        <v>514</v>
      </c>
      <c r="B61" s="567">
        <f>_xlfn.XLOOKUP(A61,'[26]Asset list'!$B$3:$B$22,'[26]Asset list'!$I$3:$I$22)</f>
        <v>1084.7236250000001</v>
      </c>
      <c r="C61" s="567">
        <f t="shared" si="4"/>
        <v>349.04023447590663</v>
      </c>
      <c r="D61" s="567">
        <f t="shared" si="5"/>
        <v>0.32177803306893643</v>
      </c>
      <c r="G61" s="552" t="s">
        <v>515</v>
      </c>
      <c r="H61" s="554" t="s">
        <v>1159</v>
      </c>
      <c r="I61" s="578">
        <v>2579</v>
      </c>
      <c r="J61" s="577">
        <v>499.7999999999999</v>
      </c>
      <c r="K61" s="146">
        <v>499.7999999999999</v>
      </c>
      <c r="M61" s="146" t="s">
        <v>1408</v>
      </c>
      <c r="N61" s="146">
        <v>2025</v>
      </c>
      <c r="O61" s="146">
        <v>2024</v>
      </c>
    </row>
    <row r="62" spans="1:15" ht="15" customHeight="1" x14ac:dyDescent="0.3">
      <c r="A62" s="566" t="s">
        <v>500</v>
      </c>
      <c r="B62" s="567">
        <v>10074.656625</v>
      </c>
      <c r="C62" s="567">
        <f t="shared" si="4"/>
        <v>5849</v>
      </c>
      <c r="D62" s="567">
        <f t="shared" si="5"/>
        <v>0.5805656924808591</v>
      </c>
      <c r="G62" s="552" t="s">
        <v>516</v>
      </c>
      <c r="H62" s="554" t="s">
        <v>1159</v>
      </c>
      <c r="I62" s="576">
        <v>6259</v>
      </c>
      <c r="J62" s="577">
        <v>791.2800000000002</v>
      </c>
      <c r="K62" s="146">
        <v>791.2800000000002</v>
      </c>
      <c r="M62" s="569" t="s">
        <v>655</v>
      </c>
      <c r="N62" s="579">
        <f>J51*0.051</f>
        <v>150.2868</v>
      </c>
      <c r="O62" s="569">
        <v>154</v>
      </c>
    </row>
    <row r="63" spans="1:15" ht="15" customHeight="1" x14ac:dyDescent="0.3">
      <c r="A63" s="566" t="s">
        <v>837</v>
      </c>
      <c r="B63" s="567">
        <f>_xlfn.XLOOKUP(A63,'[26]Asset list'!$B$3:$B$22,'[26]Asset list'!$I$3:$I$22)</f>
        <v>21270.500124999999</v>
      </c>
      <c r="C63" s="567">
        <f t="shared" si="4"/>
        <v>32433.492000000009</v>
      </c>
      <c r="D63" s="567">
        <f t="shared" si="5"/>
        <v>1.524810973385611</v>
      </c>
      <c r="G63" s="552" t="s">
        <v>839</v>
      </c>
      <c r="H63" s="554" t="s">
        <v>1159</v>
      </c>
      <c r="I63" s="576">
        <v>1314</v>
      </c>
      <c r="J63" s="577">
        <v>204.11999999999998</v>
      </c>
      <c r="K63" s="146">
        <v>204.11999999999998</v>
      </c>
      <c r="M63" s="569" t="s">
        <v>651</v>
      </c>
      <c r="N63" s="579">
        <f>J51*0.051</f>
        <v>150.2868</v>
      </c>
      <c r="O63" s="569">
        <v>154</v>
      </c>
    </row>
    <row r="64" spans="1:15" ht="15" customHeight="1" x14ac:dyDescent="0.3">
      <c r="A64" s="580" t="s">
        <v>518</v>
      </c>
      <c r="B64" s="581">
        <v>16530.626</v>
      </c>
      <c r="C64" s="582"/>
      <c r="D64" s="582"/>
      <c r="G64" s="545" t="s">
        <v>514</v>
      </c>
      <c r="H64" s="146" t="s">
        <v>1159</v>
      </c>
      <c r="I64" s="568">
        <v>1085</v>
      </c>
      <c r="J64" s="560">
        <v>349.04023447590663</v>
      </c>
      <c r="K64" s="146">
        <v>168.60000000000002</v>
      </c>
      <c r="M64" s="569" t="s">
        <v>652</v>
      </c>
      <c r="N64" s="584">
        <f>N63 / '2025 Asset list '!G35</f>
        <v>0.32250386266094422</v>
      </c>
      <c r="O64" s="569">
        <v>0.33100000000000002</v>
      </c>
    </row>
    <row r="65" spans="1:14" ht="15" customHeight="1" x14ac:dyDescent="0.3">
      <c r="A65" s="566"/>
      <c r="B65" s="567"/>
      <c r="C65" s="567"/>
      <c r="D65" s="567"/>
      <c r="G65" s="545" t="s">
        <v>500</v>
      </c>
      <c r="H65" s="146" t="s">
        <v>864</v>
      </c>
      <c r="I65" s="568">
        <v>10075</v>
      </c>
      <c r="J65" s="560">
        <v>5849</v>
      </c>
      <c r="K65" s="146">
        <v>2864</v>
      </c>
    </row>
    <row r="66" spans="1:14" ht="15" customHeight="1" x14ac:dyDescent="0.3">
      <c r="A66" s="566"/>
      <c r="B66" s="567"/>
      <c r="C66" s="567"/>
      <c r="D66" s="583">
        <f>AVERAGE(D50:D63)</f>
        <v>0.45648765631301202</v>
      </c>
      <c r="G66" s="552" t="s">
        <v>837</v>
      </c>
      <c r="H66" s="554" t="s">
        <v>871</v>
      </c>
      <c r="I66" s="576">
        <v>21271</v>
      </c>
      <c r="J66" s="577">
        <v>32433.492000000009</v>
      </c>
      <c r="K66" s="146">
        <v>32433.492000000009</v>
      </c>
    </row>
    <row r="67" spans="1:14" x14ac:dyDescent="0.3">
      <c r="G67" s="146" t="s">
        <v>517</v>
      </c>
      <c r="K67" s="146">
        <v>2172.8160000000003</v>
      </c>
      <c r="M67" s="146" t="s">
        <v>1409</v>
      </c>
      <c r="N67" s="546">
        <f>SUM(N44,N35,B31,C31,D31,E31)</f>
        <v>40977.318720126939</v>
      </c>
    </row>
    <row r="68" spans="1:14" x14ac:dyDescent="0.3">
      <c r="G68" s="146" t="s">
        <v>840</v>
      </c>
      <c r="K68" s="146">
        <v>109.95599999999997</v>
      </c>
      <c r="M68" s="146" t="s">
        <v>1410</v>
      </c>
      <c r="N68" s="806">
        <f>N67/N50</f>
        <v>0.52330075970168188</v>
      </c>
    </row>
    <row r="69" spans="1:14" x14ac:dyDescent="0.3">
      <c r="K69" s="593">
        <f>SUM(K49:K68)</f>
        <v>65244.609022280783</v>
      </c>
    </row>
    <row r="70" spans="1:14" x14ac:dyDescent="0.3">
      <c r="M70" s="146" t="s">
        <v>1411</v>
      </c>
      <c r="N70" s="546">
        <f>SUM(B31,C31,D31,E31)</f>
        <v>997.80000000000052</v>
      </c>
    </row>
    <row r="71" spans="1:14" x14ac:dyDescent="0.3">
      <c r="N71" s="806">
        <f>N70/N56</f>
        <v>6.1176347957339755E-2</v>
      </c>
    </row>
    <row r="73" spans="1:14" x14ac:dyDescent="0.3">
      <c r="A73" s="880" t="s">
        <v>1412</v>
      </c>
      <c r="B73" s="881"/>
      <c r="C73" s="735"/>
    </row>
    <row r="74" spans="1:14" x14ac:dyDescent="0.3">
      <c r="A74" s="736" t="s">
        <v>453</v>
      </c>
      <c r="B74" s="592">
        <v>880.55459681882587</v>
      </c>
      <c r="C74" s="737"/>
    </row>
    <row r="75" spans="1:14" x14ac:dyDescent="0.3">
      <c r="A75" s="736" t="s">
        <v>981</v>
      </c>
      <c r="B75" s="592">
        <v>4422.8</v>
      </c>
      <c r="C75" s="737"/>
    </row>
    <row r="76" spans="1:14" x14ac:dyDescent="0.3">
      <c r="A76" s="736" t="s">
        <v>497</v>
      </c>
      <c r="B76" s="777">
        <v>2946.8</v>
      </c>
      <c r="C76" s="737"/>
    </row>
    <row r="77" spans="1:14" x14ac:dyDescent="0.3">
      <c r="A77" s="736" t="s">
        <v>502</v>
      </c>
      <c r="B77" s="592">
        <v>486.27040465575709</v>
      </c>
      <c r="C77" s="737"/>
    </row>
    <row r="78" spans="1:14" x14ac:dyDescent="0.3">
      <c r="A78" s="738" t="s">
        <v>499</v>
      </c>
      <c r="B78" s="592">
        <v>0</v>
      </c>
      <c r="C78" s="737"/>
    </row>
    <row r="79" spans="1:14" x14ac:dyDescent="0.3">
      <c r="A79" s="736" t="s">
        <v>463</v>
      </c>
      <c r="B79" s="777">
        <v>483</v>
      </c>
      <c r="C79" s="737"/>
    </row>
    <row r="80" spans="1:14" x14ac:dyDescent="0.3">
      <c r="A80" s="739" t="s">
        <v>460</v>
      </c>
      <c r="B80" s="592">
        <v>295.45000000000005</v>
      </c>
      <c r="C80" s="737"/>
    </row>
    <row r="81" spans="1:3" x14ac:dyDescent="0.3">
      <c r="A81" s="740" t="s">
        <v>456</v>
      </c>
      <c r="B81" s="592">
        <v>0</v>
      </c>
      <c r="C81" s="737"/>
    </row>
    <row r="82" spans="1:3" x14ac:dyDescent="0.3">
      <c r="A82" s="740" t="s">
        <v>518</v>
      </c>
      <c r="B82" s="592">
        <v>0</v>
      </c>
      <c r="C82" s="737"/>
    </row>
    <row r="83" spans="1:3" x14ac:dyDescent="0.3">
      <c r="A83" s="736" t="s">
        <v>968</v>
      </c>
      <c r="B83" s="592">
        <v>3753.703</v>
      </c>
      <c r="C83" s="737"/>
    </row>
    <row r="84" spans="1:3" x14ac:dyDescent="0.3">
      <c r="A84" s="736" t="s">
        <v>461</v>
      </c>
      <c r="B84" s="592">
        <v>1291</v>
      </c>
      <c r="C84" s="737"/>
    </row>
    <row r="85" spans="1:3" x14ac:dyDescent="0.3">
      <c r="A85" s="736" t="s">
        <v>462</v>
      </c>
      <c r="B85" s="592">
        <v>1084.7500007729952</v>
      </c>
      <c r="C85" s="737"/>
    </row>
    <row r="86" spans="1:3" x14ac:dyDescent="0.3">
      <c r="A86" s="740" t="s">
        <v>515</v>
      </c>
      <c r="B86" s="592">
        <v>0</v>
      </c>
      <c r="C86" s="737"/>
    </row>
    <row r="87" spans="1:3" x14ac:dyDescent="0.3">
      <c r="A87" s="740" t="s">
        <v>516</v>
      </c>
      <c r="B87" s="592">
        <v>0</v>
      </c>
      <c r="C87" s="737"/>
    </row>
    <row r="88" spans="1:3" x14ac:dyDescent="0.3">
      <c r="A88" s="740" t="s">
        <v>839</v>
      </c>
      <c r="B88" s="592">
        <v>0</v>
      </c>
      <c r="C88" s="737"/>
    </row>
    <row r="89" spans="1:3" x14ac:dyDescent="0.3">
      <c r="A89" s="736" t="s">
        <v>514</v>
      </c>
      <c r="B89" s="592">
        <v>349.04023447590663</v>
      </c>
      <c r="C89" s="737"/>
    </row>
    <row r="90" spans="1:3" x14ac:dyDescent="0.3">
      <c r="A90" s="736" t="s">
        <v>500</v>
      </c>
      <c r="B90" s="592">
        <v>5849</v>
      </c>
      <c r="C90" s="737"/>
    </row>
    <row r="91" spans="1:3" x14ac:dyDescent="0.3">
      <c r="A91" s="740" t="s">
        <v>837</v>
      </c>
      <c r="B91" s="592">
        <v>0</v>
      </c>
      <c r="C91" s="737"/>
    </row>
    <row r="92" spans="1:3" x14ac:dyDescent="0.3">
      <c r="A92" s="741" t="s">
        <v>1165</v>
      </c>
      <c r="B92" s="742">
        <f>SUM(B74:B91)</f>
        <v>21842.368236723487</v>
      </c>
      <c r="C92" s="743" t="s">
        <v>58</v>
      </c>
    </row>
  </sheetData>
  <mergeCells count="1">
    <mergeCell ref="A73:B7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83288-CF02-4DF5-AC69-C86D7E144C18}">
  <dimension ref="A1:W38"/>
  <sheetViews>
    <sheetView workbookViewId="0">
      <pane xSplit="2" ySplit="2" topLeftCell="G7" activePane="bottomRight" state="frozen"/>
      <selection pane="topRight" activeCell="C1" sqref="C1"/>
      <selection pane="bottomLeft" activeCell="A3" sqref="A3"/>
      <selection pane="bottomRight" activeCell="G5" sqref="G5"/>
    </sheetView>
  </sheetViews>
  <sheetFormatPr defaultRowHeight="15" customHeight="1" x14ac:dyDescent="0.3"/>
  <cols>
    <col min="1" max="1" width="11" customWidth="1"/>
    <col min="2" max="2" width="34.77734375" customWidth="1"/>
    <col min="3" max="3" width="11" customWidth="1"/>
    <col min="4" max="4" width="28.21875" customWidth="1"/>
    <col min="5" max="5" width="22.88671875" customWidth="1"/>
    <col min="6" max="6" width="19.21875" customWidth="1"/>
    <col min="7" max="9" width="11.5546875" customWidth="1"/>
    <col min="10" max="10" width="20" customWidth="1"/>
    <col min="11" max="13" width="19" customWidth="1"/>
    <col min="14" max="14" width="32.88671875" customWidth="1"/>
    <col min="15" max="15" width="32.5546875" customWidth="1"/>
    <col min="16" max="16" width="10.44140625" customWidth="1"/>
    <col min="17" max="17" width="27.109375" customWidth="1"/>
    <col min="18" max="18" width="23.5546875" customWidth="1"/>
    <col min="20" max="20" width="29.21875" customWidth="1"/>
  </cols>
  <sheetData>
    <row r="1" spans="1:23" ht="34.5" customHeight="1" x14ac:dyDescent="0.3">
      <c r="H1" s="6"/>
      <c r="I1">
        <v>9.2899999999999996E-2</v>
      </c>
      <c r="N1" s="72">
        <f>5/12</f>
        <v>0.41666666666666669</v>
      </c>
    </row>
    <row r="2" spans="1:23" s="68" customFormat="1" ht="28.8" x14ac:dyDescent="0.3">
      <c r="A2" s="68" t="s">
        <v>324</v>
      </c>
      <c r="B2" s="68" t="s">
        <v>829</v>
      </c>
      <c r="C2" s="68" t="s">
        <v>845</v>
      </c>
      <c r="D2" s="68" t="s">
        <v>846</v>
      </c>
      <c r="E2" s="68" t="s">
        <v>847</v>
      </c>
      <c r="F2" s="68" t="s">
        <v>848</v>
      </c>
      <c r="G2" s="68" t="s">
        <v>1384</v>
      </c>
      <c r="H2" s="68" t="s">
        <v>830</v>
      </c>
      <c r="I2" s="190" t="s">
        <v>831</v>
      </c>
      <c r="J2" s="68" t="s">
        <v>1413</v>
      </c>
      <c r="K2" s="68" t="s">
        <v>1414</v>
      </c>
      <c r="L2" s="68" t="s">
        <v>1415</v>
      </c>
      <c r="M2" s="68" t="s">
        <v>1416</v>
      </c>
      <c r="N2" s="68" t="s">
        <v>854</v>
      </c>
      <c r="O2" s="68" t="s">
        <v>855</v>
      </c>
      <c r="P2" s="68" t="s">
        <v>856</v>
      </c>
      <c r="Q2" s="68" t="s">
        <v>857</v>
      </c>
      <c r="R2" s="68" t="s">
        <v>858</v>
      </c>
      <c r="S2" s="68" t="s">
        <v>859</v>
      </c>
      <c r="T2" s="68" t="s">
        <v>1417</v>
      </c>
      <c r="U2" s="68" t="s">
        <v>1418</v>
      </c>
      <c r="V2" s="68" t="s">
        <v>1419</v>
      </c>
      <c r="W2" s="68" t="s">
        <v>1420</v>
      </c>
    </row>
    <row r="3" spans="1:23" ht="14.4" x14ac:dyDescent="0.3">
      <c r="A3">
        <v>1</v>
      </c>
      <c r="B3" t="s">
        <v>834</v>
      </c>
      <c r="C3">
        <v>2</v>
      </c>
      <c r="D3" t="s">
        <v>863</v>
      </c>
      <c r="E3" t="s">
        <v>864</v>
      </c>
      <c r="F3" t="s">
        <v>865</v>
      </c>
      <c r="G3" s="498">
        <v>14819</v>
      </c>
      <c r="H3" s="247">
        <v>127615</v>
      </c>
      <c r="I3" s="247">
        <f>TblAssets3[[#This Row],[NIA sq.ft ]]*$I$1</f>
        <v>11855.433499999999</v>
      </c>
      <c r="J3" s="88">
        <v>6970048.1200000001</v>
      </c>
      <c r="K3">
        <v>94.4</v>
      </c>
      <c r="N3" t="s">
        <v>704</v>
      </c>
      <c r="O3" t="s">
        <v>705</v>
      </c>
      <c r="Q3" t="s">
        <v>866</v>
      </c>
      <c r="S3" t="s">
        <v>716</v>
      </c>
      <c r="T3" t="s">
        <v>364</v>
      </c>
    </row>
    <row r="4" spans="1:23" ht="14.4" x14ac:dyDescent="0.3">
      <c r="A4">
        <v>1</v>
      </c>
      <c r="B4" t="s">
        <v>497</v>
      </c>
      <c r="C4">
        <v>6</v>
      </c>
      <c r="D4" t="s">
        <v>868</v>
      </c>
      <c r="E4" t="s">
        <v>864</v>
      </c>
      <c r="F4" t="s">
        <v>865</v>
      </c>
      <c r="G4" s="496">
        <v>18146</v>
      </c>
      <c r="H4" s="247">
        <v>136728</v>
      </c>
      <c r="I4" s="247">
        <f>TblAssets3[[#This Row],[NIA sq.ft ]]*$I$1</f>
        <v>12702.031199999999</v>
      </c>
      <c r="J4" s="88">
        <v>7381451.1100000003</v>
      </c>
      <c r="K4">
        <v>134.9</v>
      </c>
      <c r="N4" t="s">
        <v>705</v>
      </c>
      <c r="O4" t="s">
        <v>705</v>
      </c>
      <c r="Q4" t="s">
        <v>866</v>
      </c>
      <c r="S4" t="s">
        <v>715</v>
      </c>
      <c r="T4" t="s">
        <v>364</v>
      </c>
    </row>
    <row r="5" spans="1:23" ht="14.4" x14ac:dyDescent="0.3">
      <c r="A5">
        <v>1</v>
      </c>
      <c r="B5" t="s">
        <v>841</v>
      </c>
      <c r="C5">
        <v>16</v>
      </c>
      <c r="D5" t="s">
        <v>868</v>
      </c>
      <c r="E5" t="s">
        <v>869</v>
      </c>
      <c r="F5" t="s">
        <v>865</v>
      </c>
      <c r="G5" s="247">
        <f>TblAssets3[[#This Row],[NIA sq.ft ]]*$I$1</f>
        <v>11048.5041</v>
      </c>
      <c r="H5" s="247">
        <v>118929</v>
      </c>
      <c r="I5" s="247">
        <f>TblAssets3[[#This Row],[NIA sq.ft ]]*$I$1</f>
        <v>11048.5041</v>
      </c>
      <c r="J5" s="88">
        <v>6435134.25</v>
      </c>
      <c r="K5">
        <v>119.8</v>
      </c>
      <c r="N5" t="s">
        <v>704</v>
      </c>
      <c r="S5" t="s">
        <v>714</v>
      </c>
      <c r="T5" t="s">
        <v>364</v>
      </c>
    </row>
    <row r="6" spans="1:23" ht="14.4" x14ac:dyDescent="0.3">
      <c r="A6">
        <v>1</v>
      </c>
      <c r="B6" t="s">
        <v>842</v>
      </c>
      <c r="C6">
        <v>19</v>
      </c>
      <c r="D6" t="s">
        <v>863</v>
      </c>
      <c r="E6" t="s">
        <v>864</v>
      </c>
      <c r="F6" t="s">
        <v>865</v>
      </c>
      <c r="G6" s="496">
        <v>6649</v>
      </c>
      <c r="H6" s="247">
        <v>58777</v>
      </c>
      <c r="I6" s="247">
        <f>TblAssets3[[#This Row],[NIA sq.ft ]]*$I$1</f>
        <v>5460.3832999999995</v>
      </c>
      <c r="J6" s="88">
        <v>3304161.52</v>
      </c>
      <c r="K6" s="220">
        <v>58.6</v>
      </c>
      <c r="L6" s="220"/>
      <c r="M6" s="220"/>
      <c r="N6" t="s">
        <v>704</v>
      </c>
      <c r="Q6" t="s">
        <v>866</v>
      </c>
      <c r="S6" t="s">
        <v>714</v>
      </c>
      <c r="T6" t="s">
        <v>364</v>
      </c>
    </row>
    <row r="7" spans="1:23" ht="14.4" x14ac:dyDescent="0.3">
      <c r="A7">
        <v>1</v>
      </c>
      <c r="B7" t="s">
        <v>499</v>
      </c>
      <c r="C7">
        <v>7</v>
      </c>
      <c r="D7" t="s">
        <v>868</v>
      </c>
      <c r="E7" t="s">
        <v>864</v>
      </c>
      <c r="F7" t="s">
        <v>865</v>
      </c>
      <c r="G7" s="496">
        <v>8706</v>
      </c>
      <c r="H7" s="247">
        <v>74970</v>
      </c>
      <c r="I7" s="247">
        <f>TblAssets3[[#This Row],[NIA sq.ft ]]*$I$1</f>
        <v>6964.7129999999997</v>
      </c>
      <c r="J7" s="88">
        <v>3938880.91</v>
      </c>
      <c r="K7">
        <v>60.5</v>
      </c>
      <c r="N7" t="s">
        <v>705</v>
      </c>
      <c r="Q7" t="s">
        <v>866</v>
      </c>
      <c r="S7" t="s">
        <v>714</v>
      </c>
      <c r="T7" t="s">
        <v>364</v>
      </c>
    </row>
    <row r="8" spans="1:23" ht="14.4" x14ac:dyDescent="0.3">
      <c r="A8">
        <v>1</v>
      </c>
      <c r="B8" t="s">
        <v>840</v>
      </c>
      <c r="C8">
        <v>15</v>
      </c>
      <c r="E8" t="s">
        <v>869</v>
      </c>
      <c r="F8" t="s">
        <v>865</v>
      </c>
      <c r="G8" s="700">
        <v>566</v>
      </c>
      <c r="H8" s="247">
        <v>6096</v>
      </c>
      <c r="I8" s="247">
        <f>TblAssets3[[#This Row],[NIA sq.ft ]]*$I$1</f>
        <v>566.3184</v>
      </c>
      <c r="J8" s="88">
        <v>137526.32999999999</v>
      </c>
      <c r="K8">
        <v>1.6</v>
      </c>
      <c r="S8" t="s">
        <v>724</v>
      </c>
      <c r="T8" t="s">
        <v>505</v>
      </c>
    </row>
    <row r="9" spans="1:23" ht="14.4" x14ac:dyDescent="0.3">
      <c r="A9">
        <v>1</v>
      </c>
      <c r="B9" t="s">
        <v>463</v>
      </c>
      <c r="C9">
        <v>18</v>
      </c>
      <c r="D9" t="s">
        <v>868</v>
      </c>
      <c r="E9" t="s">
        <v>864</v>
      </c>
      <c r="F9" t="s">
        <v>865</v>
      </c>
      <c r="G9" s="700">
        <v>509</v>
      </c>
      <c r="H9" s="247">
        <v>4566</v>
      </c>
      <c r="I9" s="247">
        <f>TblAssets3[[#This Row],[NIA sq.ft ]]*$I$1</f>
        <v>424.1814</v>
      </c>
      <c r="J9" s="88">
        <v>268831</v>
      </c>
      <c r="K9">
        <v>3.1</v>
      </c>
      <c r="Q9" t="s">
        <v>866</v>
      </c>
      <c r="S9" t="s">
        <v>716</v>
      </c>
      <c r="T9" t="s">
        <v>364</v>
      </c>
    </row>
    <row r="10" spans="1:23" ht="14.4" x14ac:dyDescent="0.3">
      <c r="A10">
        <v>1</v>
      </c>
      <c r="B10" t="s">
        <v>517</v>
      </c>
      <c r="C10">
        <v>17</v>
      </c>
      <c r="E10" t="s">
        <v>864</v>
      </c>
      <c r="F10" t="s">
        <v>871</v>
      </c>
      <c r="G10" s="496">
        <v>1368</v>
      </c>
      <c r="H10" s="247">
        <v>14725</v>
      </c>
      <c r="I10" s="247">
        <f>TblAssets3[[#This Row],[NIA sq.ft ]]*$I$1</f>
        <v>1367.9524999999999</v>
      </c>
      <c r="J10" s="88">
        <v>525972.38</v>
      </c>
      <c r="K10">
        <v>7.6</v>
      </c>
      <c r="M10">
        <v>16</v>
      </c>
      <c r="S10" t="s">
        <v>717</v>
      </c>
      <c r="T10" t="s">
        <v>414</v>
      </c>
    </row>
    <row r="11" spans="1:23" ht="14.4" x14ac:dyDescent="0.3">
      <c r="A11">
        <v>1</v>
      </c>
      <c r="B11" t="s">
        <v>456</v>
      </c>
      <c r="C11">
        <v>10</v>
      </c>
      <c r="E11" t="s">
        <v>864</v>
      </c>
      <c r="F11" t="s">
        <v>871</v>
      </c>
      <c r="G11" s="497">
        <v>7866</v>
      </c>
      <c r="H11" s="247">
        <v>67737</v>
      </c>
      <c r="I11" s="247">
        <f>TblAssets3[[#This Row],[NIA sq.ft ]]*$I$1</f>
        <v>6292.7672999999995</v>
      </c>
      <c r="J11" s="88">
        <v>2000570.37</v>
      </c>
      <c r="K11">
        <v>31.5</v>
      </c>
      <c r="M11">
        <v>80</v>
      </c>
      <c r="S11" t="s">
        <v>717</v>
      </c>
      <c r="T11" t="s">
        <v>414</v>
      </c>
    </row>
    <row r="12" spans="1:23" ht="14.4" x14ac:dyDescent="0.3">
      <c r="A12">
        <v>1</v>
      </c>
      <c r="B12" t="s">
        <v>835</v>
      </c>
      <c r="C12">
        <v>5</v>
      </c>
      <c r="E12" t="s">
        <v>869</v>
      </c>
      <c r="F12" t="s">
        <v>865</v>
      </c>
      <c r="G12" s="498">
        <v>2579</v>
      </c>
      <c r="H12" s="247">
        <v>22212</v>
      </c>
      <c r="I12" s="247">
        <f>TblAssets3[[#This Row],[NIA sq.ft ]]*$I$1</f>
        <v>2063.4947999999999</v>
      </c>
      <c r="J12" s="88">
        <v>1041690</v>
      </c>
      <c r="K12">
        <v>10.8</v>
      </c>
      <c r="S12" t="s">
        <v>718</v>
      </c>
      <c r="T12" t="s">
        <v>505</v>
      </c>
    </row>
    <row r="13" spans="1:23" ht="14.4" x14ac:dyDescent="0.3">
      <c r="A13">
        <v>1</v>
      </c>
      <c r="B13" t="s">
        <v>838</v>
      </c>
      <c r="C13">
        <v>13</v>
      </c>
      <c r="E13" t="s">
        <v>869</v>
      </c>
      <c r="F13" t="s">
        <v>872</v>
      </c>
      <c r="G13" s="497">
        <v>16531</v>
      </c>
      <c r="H13" s="247">
        <v>177940</v>
      </c>
      <c r="I13" s="247">
        <f>TblAssets3[[#This Row],[NIA sq.ft ]]*$I$1</f>
        <v>16530.626</v>
      </c>
      <c r="J13" s="88">
        <v>1238923.97</v>
      </c>
      <c r="K13">
        <v>19.3</v>
      </c>
      <c r="S13" t="s">
        <v>873</v>
      </c>
      <c r="T13" t="s">
        <v>505</v>
      </c>
    </row>
    <row r="14" spans="1:23" ht="14.4" x14ac:dyDescent="0.3">
      <c r="A14">
        <v>1</v>
      </c>
      <c r="B14" t="s">
        <v>461</v>
      </c>
      <c r="C14">
        <v>3</v>
      </c>
      <c r="D14" t="s">
        <v>874</v>
      </c>
      <c r="E14" t="s">
        <v>864</v>
      </c>
      <c r="F14" t="s">
        <v>865</v>
      </c>
      <c r="G14" s="498">
        <v>5060</v>
      </c>
      <c r="H14" s="247">
        <v>43578</v>
      </c>
      <c r="I14" s="247">
        <f>TblAssets3[[#This Row],[NIA sq.ft ]]*$I$1</f>
        <v>4048.3961999999997</v>
      </c>
      <c r="J14" s="88">
        <v>1991309.75</v>
      </c>
      <c r="K14">
        <v>26.3</v>
      </c>
      <c r="Q14" t="s">
        <v>866</v>
      </c>
      <c r="S14" t="s">
        <v>873</v>
      </c>
      <c r="T14" t="s">
        <v>364</v>
      </c>
    </row>
    <row r="15" spans="1:23" ht="14.4" x14ac:dyDescent="0.3">
      <c r="A15">
        <v>1</v>
      </c>
      <c r="B15" t="s">
        <v>462</v>
      </c>
      <c r="C15">
        <v>4</v>
      </c>
      <c r="D15" t="s">
        <v>874</v>
      </c>
      <c r="E15" t="s">
        <v>864</v>
      </c>
      <c r="F15" t="s">
        <v>865</v>
      </c>
      <c r="G15" s="495">
        <v>5198</v>
      </c>
      <c r="H15" s="247">
        <v>44765</v>
      </c>
      <c r="I15" s="247">
        <f>TblAssets3[[#This Row],[NIA sq.ft ]]*$I$1</f>
        <v>4158.6684999999998</v>
      </c>
      <c r="J15" s="88">
        <v>365624</v>
      </c>
      <c r="K15">
        <v>26</v>
      </c>
      <c r="Q15" t="s">
        <v>866</v>
      </c>
      <c r="S15" t="s">
        <v>873</v>
      </c>
      <c r="T15" t="s">
        <v>364</v>
      </c>
    </row>
    <row r="16" spans="1:23" ht="14.4" x14ac:dyDescent="0.3">
      <c r="A16">
        <v>1</v>
      </c>
      <c r="B16" t="s">
        <v>459</v>
      </c>
      <c r="C16">
        <v>8</v>
      </c>
      <c r="D16" t="s">
        <v>868</v>
      </c>
      <c r="E16" t="s">
        <v>864</v>
      </c>
      <c r="F16" t="s">
        <v>865</v>
      </c>
      <c r="G16" s="496">
        <v>10075</v>
      </c>
      <c r="H16" s="247">
        <v>86757</v>
      </c>
      <c r="I16" s="247">
        <f>TblAssets3[[#This Row],[NIA sq.ft ]]*$I$1</f>
        <v>8059.7253000000001</v>
      </c>
      <c r="J16" s="88">
        <v>3296299.19</v>
      </c>
      <c r="K16">
        <v>69.3</v>
      </c>
      <c r="Q16" t="s">
        <v>866</v>
      </c>
      <c r="S16" t="s">
        <v>719</v>
      </c>
      <c r="T16" t="s">
        <v>364</v>
      </c>
    </row>
    <row r="17" spans="1:23" ht="14.4" x14ac:dyDescent="0.3">
      <c r="A17">
        <v>1</v>
      </c>
      <c r="B17" t="s">
        <v>875</v>
      </c>
      <c r="C17">
        <v>20</v>
      </c>
      <c r="E17" t="s">
        <v>869</v>
      </c>
      <c r="F17" t="s">
        <v>865</v>
      </c>
      <c r="G17" s="497">
        <v>6259</v>
      </c>
      <c r="H17" s="247">
        <v>53903</v>
      </c>
      <c r="I17" s="247">
        <f>TblAssets3[[#This Row],[NIA sq.ft ]]*$I$1</f>
        <v>5007.5887000000002</v>
      </c>
      <c r="J17" s="88">
        <v>1568686.36</v>
      </c>
      <c r="K17">
        <v>21.9</v>
      </c>
      <c r="M17">
        <v>22</v>
      </c>
      <c r="S17" t="s">
        <v>719</v>
      </c>
      <c r="T17" t="s">
        <v>414</v>
      </c>
    </row>
    <row r="18" spans="1:23" ht="14.4" x14ac:dyDescent="0.3">
      <c r="A18">
        <v>1</v>
      </c>
      <c r="B18" t="s">
        <v>836</v>
      </c>
      <c r="C18">
        <v>11</v>
      </c>
      <c r="D18" t="s">
        <v>868</v>
      </c>
      <c r="E18" t="s">
        <v>869</v>
      </c>
      <c r="F18" t="s">
        <v>871</v>
      </c>
      <c r="G18" s="496">
        <v>1662</v>
      </c>
      <c r="H18" s="247">
        <v>14316</v>
      </c>
      <c r="I18" s="247">
        <f>TblAssets3[[#This Row],[NIA sq.ft ]]*$I$1</f>
        <v>1329.9564</v>
      </c>
      <c r="J18" s="88">
        <v>246249.36</v>
      </c>
      <c r="K18">
        <v>9.3000000000000007</v>
      </c>
      <c r="M18">
        <v>14</v>
      </c>
      <c r="N18" t="s">
        <v>705</v>
      </c>
      <c r="S18" t="s">
        <v>714</v>
      </c>
      <c r="T18" t="s">
        <v>414</v>
      </c>
    </row>
    <row r="19" spans="1:23" ht="14.4" x14ac:dyDescent="0.3">
      <c r="A19">
        <v>1</v>
      </c>
      <c r="B19" t="s">
        <v>839</v>
      </c>
      <c r="C19">
        <v>14</v>
      </c>
      <c r="D19" t="s">
        <v>868</v>
      </c>
      <c r="E19" t="s">
        <v>869</v>
      </c>
      <c r="F19" t="s">
        <v>865</v>
      </c>
      <c r="G19" s="496">
        <v>1050.8848</v>
      </c>
      <c r="H19" s="247">
        <v>11312</v>
      </c>
      <c r="I19" s="247">
        <f>TblAssets3[[#This Row],[NIA sq.ft ]]*$I$1</f>
        <v>1050.8848</v>
      </c>
      <c r="J19" s="88">
        <v>449074.3</v>
      </c>
      <c r="K19">
        <v>6.5</v>
      </c>
      <c r="S19" t="s">
        <v>720</v>
      </c>
      <c r="T19" t="s">
        <v>364</v>
      </c>
    </row>
    <row r="20" spans="1:23" ht="14.4" x14ac:dyDescent="0.3">
      <c r="A20">
        <v>1</v>
      </c>
      <c r="B20" t="s">
        <v>514</v>
      </c>
      <c r="C20">
        <v>9</v>
      </c>
      <c r="E20" t="s">
        <v>869</v>
      </c>
      <c r="F20" t="s">
        <v>865</v>
      </c>
      <c r="G20" s="496">
        <v>868</v>
      </c>
      <c r="H20" s="247">
        <v>9341</v>
      </c>
      <c r="I20" s="247">
        <f>TblAssets3[[#This Row],[NIA sq.ft ]]*$I$1</f>
        <v>867.77890000000002</v>
      </c>
      <c r="J20" s="88">
        <v>610654</v>
      </c>
      <c r="K20">
        <v>6.6</v>
      </c>
      <c r="S20" t="s">
        <v>719</v>
      </c>
      <c r="T20" t="s">
        <v>505</v>
      </c>
    </row>
    <row r="21" spans="1:23" ht="14.4" x14ac:dyDescent="0.3">
      <c r="A21">
        <v>1</v>
      </c>
      <c r="B21" t="s">
        <v>837</v>
      </c>
      <c r="C21">
        <v>12</v>
      </c>
      <c r="E21" t="s">
        <v>864</v>
      </c>
      <c r="F21" t="s">
        <v>871</v>
      </c>
      <c r="G21" s="497">
        <v>21271</v>
      </c>
      <c r="H21" s="247">
        <v>183169</v>
      </c>
      <c r="I21" s="247">
        <f>TblAssets3[[#This Row],[NIA sq.ft ]]*$I$1</f>
        <v>17016.400099999999</v>
      </c>
      <c r="J21" s="88">
        <v>5455694.0199999996</v>
      </c>
      <c r="K21">
        <v>88.1</v>
      </c>
      <c r="M21">
        <v>213</v>
      </c>
      <c r="S21" t="s">
        <v>716</v>
      </c>
      <c r="T21" t="s">
        <v>414</v>
      </c>
      <c r="U21" t="s">
        <v>1421</v>
      </c>
      <c r="V21">
        <f>COUNTIF(T3:T21, "Yes")</f>
        <v>10</v>
      </c>
    </row>
    <row r="22" spans="1:23" ht="15" customHeight="1" x14ac:dyDescent="0.3">
      <c r="H22" s="247"/>
      <c r="I22" s="247">
        <f>TblAssets3[[#This Row],[NIA sq.ft ]]*$I$1</f>
        <v>0</v>
      </c>
      <c r="J22" s="88"/>
      <c r="U22" t="s">
        <v>1422</v>
      </c>
      <c r="V22">
        <f>COUNTIF(T3:T21, "no")</f>
        <v>4</v>
      </c>
      <c r="W22" s="72">
        <f t="shared" ref="W22" si="0">V21/SUM(V21:V22)</f>
        <v>0.7142857142857143</v>
      </c>
    </row>
    <row r="23" spans="1:23" ht="14.4" x14ac:dyDescent="0.3">
      <c r="H23" s="247">
        <f>SUM(H3:H21)</f>
        <v>1257436</v>
      </c>
      <c r="I23" s="247">
        <f>TblAssets3[[#This Row],[NIA sq.ft ]]*$I$1</f>
        <v>116815.80439999999</v>
      </c>
      <c r="J23" s="247">
        <f t="shared" ref="J23:K23" si="1">SUM(J3:J21)</f>
        <v>47226780.939999983</v>
      </c>
      <c r="K23" s="247">
        <f t="shared" si="1"/>
        <v>796.09999999999991</v>
      </c>
      <c r="L23" s="247"/>
      <c r="M23" s="247"/>
    </row>
    <row r="24" spans="1:23" ht="14.4" x14ac:dyDescent="0.3">
      <c r="B24" t="s">
        <v>877</v>
      </c>
      <c r="I24" s="206">
        <f>SUM(I3:I21)</f>
        <v>116815.80439999999</v>
      </c>
      <c r="J24" s="206">
        <f>SUM(J3:J21)</f>
        <v>47226780.939999983</v>
      </c>
      <c r="K24" s="206">
        <f>SUM(K3:K21)</f>
        <v>796.09999999999991</v>
      </c>
      <c r="L24" s="206"/>
      <c r="M24" s="206"/>
    </row>
    <row r="25" spans="1:23" ht="14.4" x14ac:dyDescent="0.3">
      <c r="B25" t="s">
        <v>1423</v>
      </c>
      <c r="J25" s="206">
        <f>SUM(J3:J20,J21)</f>
        <v>47226780.939999983</v>
      </c>
      <c r="K25">
        <f>SUM(K3:K20,K21)</f>
        <v>796.09999999999991</v>
      </c>
    </row>
    <row r="26" spans="1:23" ht="14.4" x14ac:dyDescent="0.3">
      <c r="B26" t="s">
        <v>865</v>
      </c>
      <c r="E26">
        <f>SUMIFS(A3:A23, E3:E23, "managed", F3:F23, "Office")</f>
        <v>8</v>
      </c>
      <c r="J26" s="206"/>
    </row>
    <row r="27" spans="1:23" ht="14.4" x14ac:dyDescent="0.3">
      <c r="A27" s="377" t="e" vm="1">
        <f>SUMIF([27]!TblAssets[Building Type], "Office", A3:A23)</f>
        <v>#REF!</v>
      </c>
      <c r="B27" t="s">
        <v>865</v>
      </c>
      <c r="H27" s="377"/>
      <c r="I27" s="377"/>
      <c r="J27" s="206">
        <f>SUMIF(F3:F23, "Office", J3:J23)</f>
        <v>37759370.839999996</v>
      </c>
      <c r="K27">
        <f>SUMIF(F3:F23, "Office", K3:K23)</f>
        <v>640.30000000000007</v>
      </c>
      <c r="L27" s="72">
        <f>K27/K25</f>
        <v>0.80429594272076388</v>
      </c>
    </row>
    <row r="28" spans="1:23" ht="14.4" x14ac:dyDescent="0.3">
      <c r="B28" t="s">
        <v>879</v>
      </c>
      <c r="G28" s="377">
        <f>SUMIFS(G3:G21, E3:E21, "Managed", F3:F21, "Office")</f>
        <v>69162</v>
      </c>
      <c r="I28" s="377">
        <f>SUMIFS(I3:I21, E3:E21, "Managed", F3:F21, "Office")</f>
        <v>53673.532400000004</v>
      </c>
      <c r="J28" s="376">
        <f>SUMIFS(J3:J23, E3:E23, "Managed", F3:F23, "Office")</f>
        <v>27516605.600000001</v>
      </c>
      <c r="K28" s="375">
        <f>SUMIFS(K3:K23, E3:E23, "Managed", F3:F23, "Office")</f>
        <v>473.10000000000008</v>
      </c>
      <c r="L28" s="375"/>
      <c r="M28" s="375"/>
    </row>
    <row r="29" spans="1:23" ht="14.4" x14ac:dyDescent="0.3">
      <c r="B29" t="s">
        <v>880</v>
      </c>
      <c r="H29" s="377"/>
      <c r="J29" s="376">
        <f>SUMIFS(J3:J23, E3:E23, "Managed")</f>
        <v>35498842.370000005</v>
      </c>
      <c r="K29" s="375">
        <f>SUMIFS(K3:K23, E3:E23, "Managed")</f>
        <v>600.30000000000007</v>
      </c>
      <c r="L29" s="375"/>
      <c r="M29" s="375"/>
    </row>
    <row r="30" spans="1:23" ht="14.4" x14ac:dyDescent="0.3">
      <c r="B30" t="s">
        <v>1424</v>
      </c>
      <c r="H30" s="377"/>
      <c r="J30" s="376"/>
      <c r="K30" s="375">
        <f>SUMIF(F3:F21, "Residential", K3:K21)</f>
        <v>136.5</v>
      </c>
      <c r="L30" s="803">
        <f>K30/K25</f>
        <v>0.1714608717497802</v>
      </c>
      <c r="M30" s="375"/>
    </row>
    <row r="31" spans="1:23" ht="14.4" x14ac:dyDescent="0.3">
      <c r="B31" t="s">
        <v>881</v>
      </c>
      <c r="N31" t="e">
        <f>SUM(#REF!,#REF!,#REF!,#REF!,#REF!)</f>
        <v>#REF!</v>
      </c>
    </row>
    <row r="32" spans="1:23" ht="14.4" x14ac:dyDescent="0.3">
      <c r="B32" t="s">
        <v>882</v>
      </c>
      <c r="N32" s="72" t="e">
        <f>N31/#REF!</f>
        <v>#REF!</v>
      </c>
    </row>
    <row r="33" spans="2:13" ht="14.4" x14ac:dyDescent="0.3">
      <c r="B33" t="s">
        <v>883</v>
      </c>
    </row>
    <row r="34" spans="2:13" ht="15" customHeight="1" x14ac:dyDescent="0.3">
      <c r="B34" t="s">
        <v>884</v>
      </c>
    </row>
    <row r="35" spans="2:13" ht="15" customHeight="1" x14ac:dyDescent="0.3">
      <c r="G35">
        <v>466</v>
      </c>
    </row>
    <row r="36" spans="2:13" ht="15" customHeight="1" x14ac:dyDescent="0.3">
      <c r="B36" t="s">
        <v>885</v>
      </c>
    </row>
    <row r="38" spans="2:13" ht="15" customHeight="1" x14ac:dyDescent="0.3">
      <c r="B38" t="s">
        <v>1425</v>
      </c>
      <c r="M38">
        <f>SUM(M21,M18,M11)</f>
        <v>307</v>
      </c>
    </row>
  </sheetData>
  <pageMargins left="0.7" right="0.7" top="0.75" bottom="0.75" header="0.3" footer="0.3"/>
  <pageSetup paperSize="9" orientation="portrait"/>
  <legacyDrawing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E513-9707-4F0D-9B26-DE654F9FD28E}">
  <sheetPr>
    <tabColor rgb="FFC00000"/>
  </sheetPr>
  <dimension ref="A1:BS85"/>
  <sheetViews>
    <sheetView topLeftCell="AY1" zoomScale="77" zoomScaleNormal="77" workbookViewId="0">
      <pane ySplit="2" topLeftCell="A28" activePane="bottomLeft" state="frozen"/>
      <selection pane="bottomLeft" activeCell="BC51" sqref="BC51:BE53"/>
    </sheetView>
  </sheetViews>
  <sheetFormatPr defaultRowHeight="15" customHeight="1" x14ac:dyDescent="0.3"/>
  <cols>
    <col min="1" max="1" width="28.88671875" customWidth="1"/>
    <col min="2" max="2" width="19.5546875" customWidth="1"/>
    <col min="3" max="3" width="13" customWidth="1"/>
    <col min="4" max="4" width="13.44140625" bestFit="1" customWidth="1"/>
    <col min="5" max="5" width="20.109375" bestFit="1" customWidth="1"/>
    <col min="6" max="6" width="19.5546875" bestFit="1" customWidth="1"/>
    <col min="7" max="7" width="13" bestFit="1" customWidth="1"/>
    <col min="8" max="8" width="13.44140625" bestFit="1" customWidth="1"/>
    <col min="9" max="9" width="20.109375" bestFit="1" customWidth="1"/>
    <col min="10" max="10" width="19.5546875" bestFit="1" customWidth="1"/>
    <col min="11" max="11" width="13" bestFit="1" customWidth="1"/>
    <col min="12" max="12" width="13.44140625" bestFit="1" customWidth="1"/>
    <col min="13" max="13" width="20.109375" bestFit="1" customWidth="1"/>
    <col min="14" max="14" width="19.5546875" bestFit="1" customWidth="1"/>
    <col min="15" max="15" width="13" bestFit="1" customWidth="1"/>
    <col min="16" max="16" width="13.44140625" bestFit="1" customWidth="1"/>
    <col min="17" max="17" width="20.109375" bestFit="1" customWidth="1"/>
    <col min="18" max="18" width="19.5546875" bestFit="1" customWidth="1"/>
    <col min="19" max="19" width="13" bestFit="1" customWidth="1"/>
    <col min="20" max="20" width="13.44140625" bestFit="1" customWidth="1"/>
    <col min="21" max="21" width="20.109375" bestFit="1" customWidth="1"/>
    <col min="22" max="22" width="19.5546875" bestFit="1" customWidth="1"/>
    <col min="23" max="23" width="13" bestFit="1" customWidth="1"/>
    <col min="24" max="24" width="13.44140625" bestFit="1" customWidth="1"/>
    <col min="25" max="25" width="20.109375" bestFit="1" customWidth="1"/>
    <col min="26" max="26" width="19.5546875" bestFit="1" customWidth="1"/>
    <col min="27" max="27" width="13" bestFit="1" customWidth="1"/>
    <col min="28" max="28" width="13.44140625" bestFit="1" customWidth="1"/>
    <col min="29" max="29" width="20.109375" bestFit="1" customWidth="1"/>
    <col min="30" max="30" width="19.5546875" bestFit="1" customWidth="1"/>
    <col min="31" max="31" width="13" bestFit="1" customWidth="1"/>
    <col min="32" max="32" width="13.44140625" bestFit="1" customWidth="1"/>
    <col min="33" max="33" width="20.109375" bestFit="1" customWidth="1"/>
    <col min="34" max="34" width="19.5546875" bestFit="1" customWidth="1"/>
    <col min="35" max="35" width="13" bestFit="1" customWidth="1"/>
    <col min="36" max="36" width="13.44140625" bestFit="1" customWidth="1"/>
    <col min="37" max="37" width="20.109375" bestFit="1" customWidth="1"/>
    <col min="38" max="38" width="19.5546875" bestFit="1" customWidth="1"/>
    <col min="39" max="39" width="13" bestFit="1" customWidth="1"/>
    <col min="40" max="40" width="13.44140625" bestFit="1" customWidth="1"/>
    <col min="41" max="41" width="20.109375" bestFit="1" customWidth="1"/>
    <col min="42" max="42" width="19.5546875" bestFit="1" customWidth="1"/>
    <col min="43" max="43" width="13" bestFit="1" customWidth="1"/>
    <col min="44" max="44" width="13.44140625" bestFit="1" customWidth="1"/>
    <col min="45" max="45" width="20.109375" bestFit="1" customWidth="1"/>
    <col min="46" max="46" width="19.5546875" bestFit="1" customWidth="1"/>
    <col min="47" max="47" width="13" bestFit="1" customWidth="1"/>
    <col min="48" max="48" width="13.44140625" bestFit="1" customWidth="1"/>
    <col min="49" max="49" width="20.109375" bestFit="1" customWidth="1"/>
    <col min="50" max="50" width="24.77734375" bestFit="1" customWidth="1"/>
    <col min="51" max="51" width="18.21875" bestFit="1" customWidth="1"/>
    <col min="52" max="52" width="18.5546875" bestFit="1" customWidth="1"/>
    <col min="53" max="53" width="25.21875" bestFit="1" customWidth="1"/>
    <col min="54" max="54" width="24.77734375" bestFit="1" customWidth="1"/>
    <col min="55" max="55" width="33.77734375" customWidth="1"/>
    <col min="56" max="56" width="18.5546875" bestFit="1" customWidth="1"/>
    <col min="57" max="57" width="25.21875" bestFit="1" customWidth="1"/>
    <col min="58" max="58" width="19.5546875" bestFit="1" customWidth="1"/>
    <col min="59" max="59" width="18.21875" customWidth="1"/>
    <col min="60" max="60" width="38" customWidth="1"/>
    <col min="61" max="61" width="37" customWidth="1"/>
    <col min="62" max="63" width="26.88671875" customWidth="1"/>
    <col min="64" max="64" width="18" customWidth="1"/>
    <col min="65" max="65" width="20.21875" customWidth="1"/>
    <col min="66" max="66" width="20.109375" bestFit="1" customWidth="1"/>
    <col min="67" max="67" width="19.5546875" bestFit="1" customWidth="1"/>
    <col min="68" max="68" width="13" bestFit="1" customWidth="1"/>
    <col min="69" max="69" width="13.44140625" bestFit="1" customWidth="1"/>
    <col min="70" max="70" width="20.109375" bestFit="1" customWidth="1"/>
    <col min="71" max="71" width="19.5546875" bestFit="1" customWidth="1"/>
    <col min="72" max="72" width="13" bestFit="1" customWidth="1"/>
    <col min="73" max="73" width="13.44140625" bestFit="1" customWidth="1"/>
    <col min="74" max="74" width="20.109375" bestFit="1" customWidth="1"/>
    <col min="75" max="75" width="19.5546875" bestFit="1" customWidth="1"/>
    <col min="76" max="76" width="13" bestFit="1" customWidth="1"/>
    <col min="77" max="77" width="13.44140625" bestFit="1" customWidth="1"/>
    <col min="78" max="78" width="20.109375" bestFit="1" customWidth="1"/>
    <col min="79" max="79" width="19.5546875" bestFit="1" customWidth="1"/>
    <col min="80" max="80" width="13" bestFit="1" customWidth="1"/>
    <col min="81" max="81" width="13.44140625" bestFit="1" customWidth="1"/>
    <col min="82" max="82" width="20.109375" bestFit="1" customWidth="1"/>
    <col min="83" max="83" width="19.5546875" bestFit="1" customWidth="1"/>
    <col min="84" max="84" width="13" bestFit="1" customWidth="1"/>
    <col min="85" max="85" width="13.44140625" bestFit="1" customWidth="1"/>
    <col min="86" max="86" width="20.109375" bestFit="1" customWidth="1"/>
    <col min="87" max="87" width="19.5546875" bestFit="1" customWidth="1"/>
    <col min="88" max="88" width="13" bestFit="1" customWidth="1"/>
    <col min="89" max="89" width="13.44140625" bestFit="1" customWidth="1"/>
    <col min="90" max="90" width="20.109375" bestFit="1" customWidth="1"/>
    <col min="91" max="91" width="19.5546875" bestFit="1" customWidth="1"/>
    <col min="92" max="92" width="13" bestFit="1" customWidth="1"/>
    <col min="93" max="93" width="13.44140625" bestFit="1" customWidth="1"/>
    <col min="94" max="94" width="20.109375" bestFit="1" customWidth="1"/>
    <col min="95" max="95" width="19.5546875" bestFit="1" customWidth="1"/>
    <col min="96" max="96" width="13" bestFit="1" customWidth="1"/>
    <col min="97" max="97" width="13.44140625" bestFit="1" customWidth="1"/>
    <col min="98" max="98" width="20.109375" bestFit="1" customWidth="1"/>
    <col min="99" max="99" width="24.77734375" bestFit="1" customWidth="1"/>
    <col min="100" max="100" width="18.21875" bestFit="1" customWidth="1"/>
    <col min="101" max="101" width="18.5546875" bestFit="1" customWidth="1"/>
    <col min="102" max="102" width="25.21875" bestFit="1" customWidth="1"/>
  </cols>
  <sheetData>
    <row r="1" spans="1:65" ht="21" x14ac:dyDescent="0.4">
      <c r="A1" s="535" t="s">
        <v>1426</v>
      </c>
    </row>
    <row r="3" spans="1:65" ht="14.4" x14ac:dyDescent="0.3">
      <c r="B3" t="s">
        <v>1389</v>
      </c>
    </row>
    <row r="4" spans="1:65" ht="14.4" x14ac:dyDescent="0.3">
      <c r="B4" t="s">
        <v>1427</v>
      </c>
      <c r="F4" t="s">
        <v>1428</v>
      </c>
      <c r="J4" t="s">
        <v>1429</v>
      </c>
      <c r="N4" t="s">
        <v>1430</v>
      </c>
      <c r="R4" t="s">
        <v>1431</v>
      </c>
      <c r="V4" t="s">
        <v>1432</v>
      </c>
      <c r="Z4" t="s">
        <v>1433</v>
      </c>
      <c r="AD4" t="s">
        <v>1434</v>
      </c>
      <c r="AH4" t="s">
        <v>1435</v>
      </c>
      <c r="AL4" t="s">
        <v>1436</v>
      </c>
      <c r="AP4" t="s">
        <v>1437</v>
      </c>
      <c r="AT4" t="s">
        <v>1438</v>
      </c>
      <c r="AX4" t="s">
        <v>1439</v>
      </c>
      <c r="AY4" t="s">
        <v>1440</v>
      </c>
      <c r="AZ4" t="s">
        <v>1441</v>
      </c>
      <c r="BA4" t="s">
        <v>1442</v>
      </c>
      <c r="BC4" s="744" t="s">
        <v>1443</v>
      </c>
      <c r="BD4" s="745">
        <v>2025</v>
      </c>
      <c r="BE4" s="745"/>
      <c r="BF4" s="745"/>
      <c r="BG4" s="745"/>
      <c r="BH4" s="745"/>
      <c r="BI4" s="746"/>
      <c r="BJ4" t="s">
        <v>1444</v>
      </c>
    </row>
    <row r="5" spans="1:65" ht="14.4" x14ac:dyDescent="0.3">
      <c r="A5" t="s">
        <v>1390</v>
      </c>
      <c r="B5" t="s">
        <v>1445</v>
      </c>
      <c r="C5" t="s">
        <v>1446</v>
      </c>
      <c r="D5" t="s">
        <v>1447</v>
      </c>
      <c r="E5" t="s">
        <v>1448</v>
      </c>
      <c r="F5" t="s">
        <v>1445</v>
      </c>
      <c r="G5" t="s">
        <v>1446</v>
      </c>
      <c r="H5" t="s">
        <v>1447</v>
      </c>
      <c r="I5" t="s">
        <v>1448</v>
      </c>
      <c r="J5" t="s">
        <v>1445</v>
      </c>
      <c r="K5" t="s">
        <v>1446</v>
      </c>
      <c r="L5" t="s">
        <v>1447</v>
      </c>
      <c r="M5" t="s">
        <v>1448</v>
      </c>
      <c r="N5" t="s">
        <v>1445</v>
      </c>
      <c r="O5" t="s">
        <v>1446</v>
      </c>
      <c r="P5" t="s">
        <v>1447</v>
      </c>
      <c r="Q5" t="s">
        <v>1448</v>
      </c>
      <c r="R5" t="s">
        <v>1445</v>
      </c>
      <c r="S5" t="s">
        <v>1446</v>
      </c>
      <c r="T5" t="s">
        <v>1447</v>
      </c>
      <c r="U5" t="s">
        <v>1448</v>
      </c>
      <c r="V5" t="s">
        <v>1445</v>
      </c>
      <c r="W5" t="s">
        <v>1446</v>
      </c>
      <c r="X5" t="s">
        <v>1447</v>
      </c>
      <c r="Y5" t="s">
        <v>1448</v>
      </c>
      <c r="Z5" t="s">
        <v>1445</v>
      </c>
      <c r="AA5" t="s">
        <v>1446</v>
      </c>
      <c r="AB5" t="s">
        <v>1447</v>
      </c>
      <c r="AC5" t="s">
        <v>1448</v>
      </c>
      <c r="AD5" t="s">
        <v>1445</v>
      </c>
      <c r="AE5" t="s">
        <v>1446</v>
      </c>
      <c r="AF5" t="s">
        <v>1447</v>
      </c>
      <c r="AG5" t="s">
        <v>1448</v>
      </c>
      <c r="AH5" t="s">
        <v>1445</v>
      </c>
      <c r="AI5" t="s">
        <v>1446</v>
      </c>
      <c r="AJ5" t="s">
        <v>1447</v>
      </c>
      <c r="AK5" t="s">
        <v>1448</v>
      </c>
      <c r="AL5" t="s">
        <v>1445</v>
      </c>
      <c r="AM5" t="s">
        <v>1446</v>
      </c>
      <c r="AN5" t="s">
        <v>1447</v>
      </c>
      <c r="AO5" t="s">
        <v>1448</v>
      </c>
      <c r="AP5" t="s">
        <v>1445</v>
      </c>
      <c r="AQ5" t="s">
        <v>1446</v>
      </c>
      <c r="AR5" t="s">
        <v>1447</v>
      </c>
      <c r="AS5" t="s">
        <v>1448</v>
      </c>
      <c r="AT5" t="s">
        <v>1445</v>
      </c>
      <c r="AU5" t="s">
        <v>1446</v>
      </c>
      <c r="AV5" t="s">
        <v>1447</v>
      </c>
      <c r="AW5" t="s">
        <v>1448</v>
      </c>
      <c r="BC5" s="747"/>
      <c r="BD5" t="s">
        <v>1449</v>
      </c>
      <c r="BE5" t="s">
        <v>1450</v>
      </c>
      <c r="BF5" t="s">
        <v>1451</v>
      </c>
      <c r="BG5" t="s">
        <v>1452</v>
      </c>
      <c r="BH5" t="s">
        <v>1453</v>
      </c>
      <c r="BI5" s="748"/>
      <c r="BL5" t="s">
        <v>1454</v>
      </c>
      <c r="BM5" t="s">
        <v>65</v>
      </c>
    </row>
    <row r="6" spans="1:65" ht="14.4" x14ac:dyDescent="0.3">
      <c r="A6" s="197" t="s">
        <v>453</v>
      </c>
      <c r="B6" s="196">
        <v>345.33330146223301</v>
      </c>
      <c r="C6" s="196">
        <v>86.999999824911299</v>
      </c>
      <c r="D6" s="196">
        <v>1952.48855091631</v>
      </c>
      <c r="E6" s="196">
        <v>2384.8218522034545</v>
      </c>
      <c r="F6" s="196">
        <v>344.87500227987698</v>
      </c>
      <c r="G6" s="196">
        <v>128.000000026077</v>
      </c>
      <c r="H6" s="196">
        <v>2090.9696510061599</v>
      </c>
      <c r="I6" s="196">
        <v>2563.8446533121141</v>
      </c>
      <c r="J6" s="196">
        <v>527.35940273851099</v>
      </c>
      <c r="K6" s="196">
        <v>172.500003129243</v>
      </c>
      <c r="L6" s="196">
        <v>1641.44573488738</v>
      </c>
      <c r="M6" s="196">
        <v>2341.3051407551338</v>
      </c>
      <c r="N6" s="196">
        <v>542.71169938147</v>
      </c>
      <c r="O6" s="196">
        <v>150.000000372529</v>
      </c>
      <c r="P6" s="196">
        <v>1590.0000389665299</v>
      </c>
      <c r="Q6" s="196">
        <v>2282.711738720529</v>
      </c>
      <c r="R6" s="196">
        <v>390.37500228732802</v>
      </c>
      <c r="S6" s="196">
        <v>112.73610033094801</v>
      </c>
      <c r="T6" s="196">
        <v>1573.83328676223</v>
      </c>
      <c r="U6" s="196">
        <v>2076.944389380506</v>
      </c>
      <c r="V6" s="196">
        <v>342.14060357771803</v>
      </c>
      <c r="W6" s="196">
        <v>84.5000008121132</v>
      </c>
      <c r="X6" s="196">
        <v>1602.38574538379</v>
      </c>
      <c r="Y6" s="196">
        <v>2029.0263497736214</v>
      </c>
      <c r="Z6" s="196">
        <v>540.80270044505596</v>
      </c>
      <c r="AA6" s="196">
        <v>115.54690124467</v>
      </c>
      <c r="AB6" s="196">
        <v>1721.9375446438701</v>
      </c>
      <c r="AC6" s="196">
        <v>2378.287146333596</v>
      </c>
      <c r="AD6" s="196">
        <v>387.25579669698999</v>
      </c>
      <c r="AE6" s="196">
        <v>52.000000083353299</v>
      </c>
      <c r="AF6" s="196">
        <v>1462.5624362379299</v>
      </c>
      <c r="AG6" s="196">
        <v>1901.8182330182733</v>
      </c>
      <c r="AH6" s="196">
        <v>518.70900858193602</v>
      </c>
      <c r="AI6" s="196">
        <v>110.374998301267</v>
      </c>
      <c r="AJ6" s="196">
        <v>875.00001722946695</v>
      </c>
      <c r="AK6" s="196">
        <v>1504.0840241126698</v>
      </c>
      <c r="AL6" s="196">
        <v>281.90930141135999</v>
      </c>
      <c r="AM6" s="196">
        <v>103.00000058486999</v>
      </c>
      <c r="AN6" s="196">
        <v>1918.0000377818899</v>
      </c>
      <c r="AO6" s="196">
        <v>2302.9093397781198</v>
      </c>
      <c r="AP6" s="196">
        <v>381.99640158563801</v>
      </c>
      <c r="AQ6" s="196">
        <v>171.99999839067399</v>
      </c>
      <c r="AR6" s="196">
        <v>784.51690822839703</v>
      </c>
      <c r="AS6" s="196">
        <v>1338.5133082047091</v>
      </c>
      <c r="AT6" s="196">
        <v>513.16669769585098</v>
      </c>
      <c r="AU6" s="196">
        <v>118.312500417232</v>
      </c>
      <c r="AV6" s="196">
        <v>2150.9999521076602</v>
      </c>
      <c r="AW6" s="196">
        <v>2782.4791502207431</v>
      </c>
      <c r="AX6" s="196">
        <v>5116.6349181439673</v>
      </c>
      <c r="AY6" s="196">
        <v>1405.9705035178877</v>
      </c>
      <c r="AZ6" s="196">
        <v>19364.139904151616</v>
      </c>
      <c r="BA6" s="196">
        <v>25886.74532581347</v>
      </c>
      <c r="BC6" s="747" t="s">
        <v>453</v>
      </c>
      <c r="BD6" t="s">
        <v>1455</v>
      </c>
      <c r="BE6">
        <v>5.1166349181439674</v>
      </c>
      <c r="BF6">
        <v>1.4059705035178878</v>
      </c>
      <c r="BG6">
        <v>19.364139904151617</v>
      </c>
      <c r="BH6">
        <v>25.886745325813472</v>
      </c>
      <c r="BI6" s="748"/>
      <c r="BJ6" t="s">
        <v>453</v>
      </c>
      <c r="BK6" t="s">
        <v>1456</v>
      </c>
      <c r="BL6">
        <v>19364.139904151616</v>
      </c>
      <c r="BM6">
        <v>19.364139904151617</v>
      </c>
    </row>
    <row r="7" spans="1:65" ht="14.4" x14ac:dyDescent="0.3">
      <c r="A7" s="446" t="s">
        <v>1456</v>
      </c>
      <c r="B7" s="196">
        <v>0</v>
      </c>
      <c r="C7" s="196">
        <v>0</v>
      </c>
      <c r="D7" s="196">
        <v>1952.48855091631</v>
      </c>
      <c r="E7" s="196">
        <v>1952.48855091631</v>
      </c>
      <c r="F7" s="196">
        <v>0</v>
      </c>
      <c r="G7" s="196">
        <v>0</v>
      </c>
      <c r="H7" s="196">
        <v>2090.9696510061599</v>
      </c>
      <c r="I7" s="196">
        <v>2090.9696510061599</v>
      </c>
      <c r="J7" s="196">
        <v>0</v>
      </c>
      <c r="K7" s="196">
        <v>0</v>
      </c>
      <c r="L7" s="196">
        <v>1641.44573488738</v>
      </c>
      <c r="M7" s="196">
        <v>1641.44573488738</v>
      </c>
      <c r="N7" s="196">
        <v>0</v>
      </c>
      <c r="O7" s="196">
        <v>0</v>
      </c>
      <c r="P7" s="196">
        <v>1590.0000389665299</v>
      </c>
      <c r="Q7" s="196">
        <v>1590.0000389665299</v>
      </c>
      <c r="R7" s="196">
        <v>0</v>
      </c>
      <c r="S7" s="196">
        <v>0</v>
      </c>
      <c r="T7" s="196">
        <v>1573.83328676223</v>
      </c>
      <c r="U7" s="196">
        <v>1573.83328676223</v>
      </c>
      <c r="V7" s="196">
        <v>0</v>
      </c>
      <c r="W7" s="196">
        <v>0</v>
      </c>
      <c r="X7" s="196">
        <v>1602.38574538379</v>
      </c>
      <c r="Y7" s="196">
        <v>1602.38574538379</v>
      </c>
      <c r="Z7" s="196">
        <v>0</v>
      </c>
      <c r="AA7" s="196">
        <v>0</v>
      </c>
      <c r="AB7" s="196">
        <v>1721.9375446438701</v>
      </c>
      <c r="AC7" s="196">
        <v>1721.9375446438701</v>
      </c>
      <c r="AD7" s="196">
        <v>0</v>
      </c>
      <c r="AE7" s="196">
        <v>0</v>
      </c>
      <c r="AF7" s="196">
        <v>1462.5624362379299</v>
      </c>
      <c r="AG7" s="196">
        <v>1462.5624362379299</v>
      </c>
      <c r="AH7" s="196">
        <v>0</v>
      </c>
      <c r="AI7" s="196">
        <v>0</v>
      </c>
      <c r="AJ7" s="196">
        <v>875.00001722946695</v>
      </c>
      <c r="AK7" s="196">
        <v>875.00001722946695</v>
      </c>
      <c r="AL7" s="196">
        <v>0</v>
      </c>
      <c r="AM7" s="196">
        <v>0</v>
      </c>
      <c r="AN7" s="196">
        <v>1918.0000377818899</v>
      </c>
      <c r="AO7" s="196">
        <v>1918.0000377818899</v>
      </c>
      <c r="AP7" s="196">
        <v>0</v>
      </c>
      <c r="AQ7" s="196">
        <v>0</v>
      </c>
      <c r="AR7" s="196">
        <v>784.51690822839703</v>
      </c>
      <c r="AS7" s="196">
        <v>784.51690822839703</v>
      </c>
      <c r="AT7" s="196">
        <v>0</v>
      </c>
      <c r="AU7" s="196">
        <v>0</v>
      </c>
      <c r="AV7" s="196">
        <v>2150.9999521076602</v>
      </c>
      <c r="AW7" s="196">
        <v>2150.9999521076602</v>
      </c>
      <c r="AX7" s="196">
        <v>0</v>
      </c>
      <c r="AY7" s="196">
        <v>0</v>
      </c>
      <c r="AZ7" s="196">
        <v>19364.139904151616</v>
      </c>
      <c r="BA7" s="196">
        <v>19364.139904151616</v>
      </c>
      <c r="BC7" s="747" t="s">
        <v>497</v>
      </c>
      <c r="BD7" t="s">
        <v>1455</v>
      </c>
      <c r="BE7">
        <v>12.677297595888325</v>
      </c>
      <c r="BF7">
        <v>2.6209999732673102</v>
      </c>
      <c r="BG7">
        <v>16.61117811687286</v>
      </c>
      <c r="BH7">
        <v>31.909475686028493</v>
      </c>
      <c r="BI7" s="748"/>
      <c r="BJ7" t="s">
        <v>453</v>
      </c>
      <c r="BK7" t="s">
        <v>1457</v>
      </c>
      <c r="BL7">
        <v>1405.9705035178877</v>
      </c>
      <c r="BM7">
        <v>1.4059705035178878</v>
      </c>
    </row>
    <row r="8" spans="1:65" ht="14.4" x14ac:dyDescent="0.3">
      <c r="A8" s="446" t="s">
        <v>1457</v>
      </c>
      <c r="B8" s="196">
        <v>0</v>
      </c>
      <c r="C8" s="196">
        <v>86.999999824911299</v>
      </c>
      <c r="D8" s="196">
        <v>0</v>
      </c>
      <c r="E8" s="196">
        <v>86.999999824911299</v>
      </c>
      <c r="F8" s="196">
        <v>0</v>
      </c>
      <c r="G8" s="196">
        <v>128.000000026077</v>
      </c>
      <c r="H8" s="196">
        <v>0</v>
      </c>
      <c r="I8" s="196">
        <v>128.000000026077</v>
      </c>
      <c r="J8" s="196">
        <v>0</v>
      </c>
      <c r="K8" s="196">
        <v>172.500003129243</v>
      </c>
      <c r="L8" s="196">
        <v>0</v>
      </c>
      <c r="M8" s="196">
        <v>172.500003129243</v>
      </c>
      <c r="N8" s="196">
        <v>0</v>
      </c>
      <c r="O8" s="196">
        <v>150.000000372529</v>
      </c>
      <c r="P8" s="196">
        <v>0</v>
      </c>
      <c r="Q8" s="196">
        <v>150.000000372529</v>
      </c>
      <c r="R8" s="196">
        <v>0</v>
      </c>
      <c r="S8" s="196">
        <v>112.73610033094801</v>
      </c>
      <c r="T8" s="196">
        <v>0</v>
      </c>
      <c r="U8" s="196">
        <v>112.73610033094801</v>
      </c>
      <c r="V8" s="196">
        <v>0</v>
      </c>
      <c r="W8" s="196">
        <v>84.5000008121132</v>
      </c>
      <c r="X8" s="196">
        <v>0</v>
      </c>
      <c r="Y8" s="196">
        <v>84.5000008121132</v>
      </c>
      <c r="Z8" s="196">
        <v>0</v>
      </c>
      <c r="AA8" s="196">
        <v>115.54690124467</v>
      </c>
      <c r="AB8" s="196">
        <v>0</v>
      </c>
      <c r="AC8" s="196">
        <v>115.54690124467</v>
      </c>
      <c r="AD8" s="196">
        <v>0</v>
      </c>
      <c r="AE8" s="196">
        <v>52.000000083353299</v>
      </c>
      <c r="AF8" s="196">
        <v>0</v>
      </c>
      <c r="AG8" s="196">
        <v>52.000000083353299</v>
      </c>
      <c r="AH8" s="196">
        <v>0</v>
      </c>
      <c r="AI8" s="196">
        <v>110.374998301267</v>
      </c>
      <c r="AJ8" s="196">
        <v>0</v>
      </c>
      <c r="AK8" s="196">
        <v>110.374998301267</v>
      </c>
      <c r="AL8" s="196">
        <v>0</v>
      </c>
      <c r="AM8" s="196">
        <v>103.00000058486999</v>
      </c>
      <c r="AN8" s="196">
        <v>0</v>
      </c>
      <c r="AO8" s="196">
        <v>103.00000058486999</v>
      </c>
      <c r="AP8" s="196">
        <v>0</v>
      </c>
      <c r="AQ8" s="196">
        <v>171.99999839067399</v>
      </c>
      <c r="AR8" s="196">
        <v>0</v>
      </c>
      <c r="AS8" s="196">
        <v>171.99999839067399</v>
      </c>
      <c r="AT8" s="196">
        <v>0</v>
      </c>
      <c r="AU8" s="196">
        <v>118.312500417232</v>
      </c>
      <c r="AV8" s="196">
        <v>0</v>
      </c>
      <c r="AW8" s="196">
        <v>118.312500417232</v>
      </c>
      <c r="AX8" s="196">
        <v>0</v>
      </c>
      <c r="AY8" s="196">
        <v>1405.9705035178877</v>
      </c>
      <c r="AZ8" s="196">
        <v>0</v>
      </c>
      <c r="BA8" s="196">
        <v>1405.9705035178877</v>
      </c>
      <c r="BC8" s="747" t="s">
        <v>502</v>
      </c>
      <c r="BD8" t="s">
        <v>1455</v>
      </c>
      <c r="BE8">
        <v>5.4483690063934738</v>
      </c>
      <c r="BF8">
        <v>2.3188143027946309</v>
      </c>
      <c r="BG8">
        <v>2.6924240046064312</v>
      </c>
      <c r="BH8">
        <v>10.459607313794535</v>
      </c>
      <c r="BI8" s="748"/>
      <c r="BJ8" t="s">
        <v>453</v>
      </c>
      <c r="BK8" t="s">
        <v>1458</v>
      </c>
      <c r="BL8">
        <v>5116.6349181439673</v>
      </c>
      <c r="BM8">
        <v>5.1166349181439674</v>
      </c>
    </row>
    <row r="9" spans="1:65" ht="14.4" x14ac:dyDescent="0.3">
      <c r="A9" s="446" t="s">
        <v>1458</v>
      </c>
      <c r="B9" s="196">
        <v>345.33330146223301</v>
      </c>
      <c r="C9" s="196">
        <v>0</v>
      </c>
      <c r="D9" s="196">
        <v>0</v>
      </c>
      <c r="E9" s="196">
        <v>345.33330146223301</v>
      </c>
      <c r="F9" s="196">
        <v>344.87500227987698</v>
      </c>
      <c r="G9" s="196">
        <v>0</v>
      </c>
      <c r="H9" s="196">
        <v>0</v>
      </c>
      <c r="I9" s="196">
        <v>344.87500227987698</v>
      </c>
      <c r="J9" s="196">
        <v>527.35940273851099</v>
      </c>
      <c r="K9" s="196">
        <v>0</v>
      </c>
      <c r="L9" s="196">
        <v>0</v>
      </c>
      <c r="M9" s="196">
        <v>527.35940273851099</v>
      </c>
      <c r="N9" s="196">
        <v>542.71169938147</v>
      </c>
      <c r="O9" s="196">
        <v>0</v>
      </c>
      <c r="P9" s="196">
        <v>0</v>
      </c>
      <c r="Q9" s="196">
        <v>542.71169938147</v>
      </c>
      <c r="R9" s="196">
        <v>390.37500228732802</v>
      </c>
      <c r="S9" s="196">
        <v>0</v>
      </c>
      <c r="T9" s="196">
        <v>0</v>
      </c>
      <c r="U9" s="196">
        <v>390.37500228732802</v>
      </c>
      <c r="V9" s="196">
        <v>342.14060357771803</v>
      </c>
      <c r="W9" s="196">
        <v>0</v>
      </c>
      <c r="X9" s="196">
        <v>0</v>
      </c>
      <c r="Y9" s="196">
        <v>342.14060357771803</v>
      </c>
      <c r="Z9" s="196">
        <v>540.80270044505596</v>
      </c>
      <c r="AA9" s="196">
        <v>0</v>
      </c>
      <c r="AB9" s="196">
        <v>0</v>
      </c>
      <c r="AC9" s="196">
        <v>540.80270044505596</v>
      </c>
      <c r="AD9" s="196">
        <v>387.25579669698999</v>
      </c>
      <c r="AE9" s="196">
        <v>0</v>
      </c>
      <c r="AF9" s="196">
        <v>0</v>
      </c>
      <c r="AG9" s="196">
        <v>387.25579669698999</v>
      </c>
      <c r="AH9" s="196">
        <v>518.70900858193602</v>
      </c>
      <c r="AI9" s="196">
        <v>0</v>
      </c>
      <c r="AJ9" s="196">
        <v>0</v>
      </c>
      <c r="AK9" s="196">
        <v>518.70900858193602</v>
      </c>
      <c r="AL9" s="196">
        <v>281.90930141135999</v>
      </c>
      <c r="AM9" s="196">
        <v>0</v>
      </c>
      <c r="AN9" s="196">
        <v>0</v>
      </c>
      <c r="AO9" s="196">
        <v>281.90930141135999</v>
      </c>
      <c r="AP9" s="196">
        <v>381.99640158563801</v>
      </c>
      <c r="AQ9" s="196">
        <v>0</v>
      </c>
      <c r="AR9" s="196">
        <v>0</v>
      </c>
      <c r="AS9" s="196">
        <v>381.99640158563801</v>
      </c>
      <c r="AT9" s="196">
        <v>513.16669769585098</v>
      </c>
      <c r="AU9" s="196">
        <v>0</v>
      </c>
      <c r="AV9" s="196">
        <v>0</v>
      </c>
      <c r="AW9" s="196">
        <v>513.16669769585098</v>
      </c>
      <c r="AX9" s="196">
        <v>5116.6349181439673</v>
      </c>
      <c r="AY9" s="196">
        <v>0</v>
      </c>
      <c r="AZ9" s="196">
        <v>0</v>
      </c>
      <c r="BA9" s="196">
        <v>5116.6349181439673</v>
      </c>
      <c r="BC9" s="747" t="s">
        <v>499</v>
      </c>
      <c r="BD9" t="s">
        <v>1455</v>
      </c>
      <c r="BE9">
        <v>3.4093410195782714</v>
      </c>
      <c r="BF9">
        <v>3.9853332899510807</v>
      </c>
      <c r="BG9">
        <v>3.7095303144305891</v>
      </c>
      <c r="BH9">
        <v>11.104204623959941</v>
      </c>
      <c r="BI9" s="748"/>
      <c r="BJ9" t="s">
        <v>497</v>
      </c>
      <c r="BK9" t="s">
        <v>1456</v>
      </c>
      <c r="BL9">
        <v>16611.178116872859</v>
      </c>
      <c r="BM9">
        <v>16.61117811687286</v>
      </c>
    </row>
    <row r="10" spans="1:65" ht="14.4" x14ac:dyDescent="0.3">
      <c r="A10" s="197" t="s">
        <v>497</v>
      </c>
      <c r="B10" s="196">
        <v>858.60000178217797</v>
      </c>
      <c r="C10" s="196">
        <v>237.99999803304601</v>
      </c>
      <c r="D10" s="196">
        <v>1125.80700218677</v>
      </c>
      <c r="E10" s="196">
        <v>2222.407002001994</v>
      </c>
      <c r="F10" s="196">
        <v>1188.6886917054601</v>
      </c>
      <c r="G10" s="196">
        <v>133.99999961256901</v>
      </c>
      <c r="H10" s="196">
        <v>1598.1073062866899</v>
      </c>
      <c r="I10" s="196">
        <v>2920.7959976047187</v>
      </c>
      <c r="J10" s="196">
        <v>1309.9273927509701</v>
      </c>
      <c r="K10" s="196">
        <v>107.999995350837</v>
      </c>
      <c r="L10" s="196">
        <v>1051.458414644</v>
      </c>
      <c r="M10" s="196">
        <v>2469.3858027458073</v>
      </c>
      <c r="N10" s="196">
        <v>1400.6135873496501</v>
      </c>
      <c r="O10" s="196">
        <v>257.99999386072102</v>
      </c>
      <c r="P10" s="196">
        <v>1365.02051353454</v>
      </c>
      <c r="Q10" s="196">
        <v>3023.6340947449112</v>
      </c>
      <c r="R10" s="196">
        <v>1021.11110463738</v>
      </c>
      <c r="S10" s="196">
        <v>170.99999636411599</v>
      </c>
      <c r="T10" s="196">
        <v>1562.0729401707599</v>
      </c>
      <c r="U10" s="196">
        <v>2754.184041172256</v>
      </c>
      <c r="V10" s="196">
        <v>1059.48292091488</v>
      </c>
      <c r="W10" s="196">
        <v>258.00000131130201</v>
      </c>
      <c r="X10" s="196">
        <v>814.98909741639989</v>
      </c>
      <c r="Y10" s="196">
        <v>2132.4720196425819</v>
      </c>
      <c r="Z10" s="196">
        <v>1050.3100920468501</v>
      </c>
      <c r="AA10" s="196">
        <v>128.99999320507001</v>
      </c>
      <c r="AB10" s="196">
        <v>1530.22470511496</v>
      </c>
      <c r="AC10" s="196">
        <v>2709.5347903668799</v>
      </c>
      <c r="AD10" s="196">
        <v>718.10489706695</v>
      </c>
      <c r="AE10" s="196">
        <v>342.00000762939402</v>
      </c>
      <c r="AF10" s="196">
        <v>1336.0947333276199</v>
      </c>
      <c r="AG10" s="196">
        <v>2396.1996380239639</v>
      </c>
      <c r="AH10" s="196">
        <v>1153.0000045895499</v>
      </c>
      <c r="AI10" s="196">
        <v>318.00000369548798</v>
      </c>
      <c r="AJ10" s="196">
        <v>1536.2496078014301</v>
      </c>
      <c r="AK10" s="196">
        <v>3007.249616086468</v>
      </c>
      <c r="AL10" s="196">
        <v>940.14999642968098</v>
      </c>
      <c r="AM10" s="196">
        <v>245.999999344348</v>
      </c>
      <c r="AN10" s="196">
        <v>1744.66025829315</v>
      </c>
      <c r="AO10" s="196">
        <v>2930.8102540671789</v>
      </c>
      <c r="AP10" s="196">
        <v>1065.62510132789</v>
      </c>
      <c r="AQ10" s="196">
        <v>302.99998819827999</v>
      </c>
      <c r="AR10" s="196">
        <v>1845.62351554632</v>
      </c>
      <c r="AS10" s="196">
        <v>3214.2486050724901</v>
      </c>
      <c r="AT10" s="196">
        <v>911.68380528688397</v>
      </c>
      <c r="AU10" s="196">
        <v>115.999996662139</v>
      </c>
      <c r="AV10" s="196">
        <v>1100.87002255022</v>
      </c>
      <c r="AW10" s="196">
        <v>2128.5538244992431</v>
      </c>
      <c r="AX10" s="196">
        <v>12677.297595888325</v>
      </c>
      <c r="AY10" s="196">
        <v>2620.99997326731</v>
      </c>
      <c r="AZ10" s="196">
        <v>16611.178116872859</v>
      </c>
      <c r="BA10" s="196">
        <v>31909.475686028494</v>
      </c>
      <c r="BC10" s="749" t="s">
        <v>456</v>
      </c>
      <c r="BD10" s="105" t="s">
        <v>1459</v>
      </c>
      <c r="BE10" s="105">
        <v>23.585454545454546</v>
      </c>
      <c r="BF10" s="105">
        <v>1.92</v>
      </c>
      <c r="BG10" s="105">
        <v>15.523636363636363</v>
      </c>
      <c r="BH10" s="105">
        <v>41.029090909090911</v>
      </c>
      <c r="BI10" s="750"/>
      <c r="BJ10" t="s">
        <v>497</v>
      </c>
      <c r="BK10" t="s">
        <v>1457</v>
      </c>
      <c r="BL10">
        <v>2620.99997326731</v>
      </c>
      <c r="BM10">
        <v>2.6209999732673102</v>
      </c>
    </row>
    <row r="11" spans="1:65" ht="14.4" x14ac:dyDescent="0.3">
      <c r="A11" s="446" t="s">
        <v>1456</v>
      </c>
      <c r="B11" s="196">
        <v>0</v>
      </c>
      <c r="C11" s="196">
        <v>0</v>
      </c>
      <c r="D11" s="196">
        <v>1125.80700218677</v>
      </c>
      <c r="E11" s="196">
        <v>1125.80700218677</v>
      </c>
      <c r="F11" s="196">
        <v>0</v>
      </c>
      <c r="G11" s="196">
        <v>0</v>
      </c>
      <c r="H11" s="196">
        <v>1598.1073062866899</v>
      </c>
      <c r="I11" s="196">
        <v>1598.1073062866899</v>
      </c>
      <c r="J11" s="196">
        <v>0</v>
      </c>
      <c r="K11" s="196">
        <v>0</v>
      </c>
      <c r="L11" s="196">
        <v>1051.458414644</v>
      </c>
      <c r="M11" s="196">
        <v>1051.458414644</v>
      </c>
      <c r="N11" s="196">
        <v>0</v>
      </c>
      <c r="O11" s="196">
        <v>0</v>
      </c>
      <c r="P11" s="196">
        <v>1365.02051353454</v>
      </c>
      <c r="Q11" s="196">
        <v>1365.02051353454</v>
      </c>
      <c r="R11" s="196">
        <v>0</v>
      </c>
      <c r="S11" s="196">
        <v>0</v>
      </c>
      <c r="T11" s="196">
        <v>1562.0729401707599</v>
      </c>
      <c r="U11" s="196">
        <v>1562.0729401707599</v>
      </c>
      <c r="V11" s="196">
        <v>0</v>
      </c>
      <c r="W11" s="196">
        <v>0</v>
      </c>
      <c r="X11" s="196">
        <v>814.98909741639989</v>
      </c>
      <c r="Y11" s="196">
        <v>814.98909741639989</v>
      </c>
      <c r="Z11" s="196">
        <v>0</v>
      </c>
      <c r="AA11" s="196">
        <v>0</v>
      </c>
      <c r="AB11" s="196">
        <v>1530.22470511496</v>
      </c>
      <c r="AC11" s="196">
        <v>1530.22470511496</v>
      </c>
      <c r="AD11" s="196">
        <v>0</v>
      </c>
      <c r="AE11" s="196">
        <v>0</v>
      </c>
      <c r="AF11" s="196">
        <v>1336.0947333276199</v>
      </c>
      <c r="AG11" s="196">
        <v>1336.0947333276199</v>
      </c>
      <c r="AH11" s="196">
        <v>0</v>
      </c>
      <c r="AI11" s="196">
        <v>0</v>
      </c>
      <c r="AJ11" s="196">
        <v>1536.2496078014301</v>
      </c>
      <c r="AK11" s="196">
        <v>1536.2496078014301</v>
      </c>
      <c r="AL11" s="196">
        <v>0</v>
      </c>
      <c r="AM11" s="196">
        <v>0</v>
      </c>
      <c r="AN11" s="196">
        <v>1744.66025829315</v>
      </c>
      <c r="AO11" s="196">
        <v>1744.66025829315</v>
      </c>
      <c r="AP11" s="196">
        <v>0</v>
      </c>
      <c r="AQ11" s="196">
        <v>0</v>
      </c>
      <c r="AR11" s="196">
        <v>1845.62351554632</v>
      </c>
      <c r="AS11" s="196">
        <v>1845.62351554632</v>
      </c>
      <c r="AT11" s="196">
        <v>0</v>
      </c>
      <c r="AU11" s="196">
        <v>0</v>
      </c>
      <c r="AV11" s="196">
        <v>1100.87002255022</v>
      </c>
      <c r="AW11" s="196">
        <v>1100.87002255022</v>
      </c>
      <c r="AX11" s="196">
        <v>0</v>
      </c>
      <c r="AY11" s="196">
        <v>0</v>
      </c>
      <c r="AZ11" s="196">
        <v>16611.178116872859</v>
      </c>
      <c r="BA11" s="196">
        <v>16611.178116872859</v>
      </c>
      <c r="BC11" s="747" t="s">
        <v>518</v>
      </c>
      <c r="BD11" t="s">
        <v>1159</v>
      </c>
      <c r="BE11" s="298"/>
      <c r="BF11">
        <v>0</v>
      </c>
      <c r="BG11">
        <v>415.00400000000002</v>
      </c>
      <c r="BH11">
        <v>415.00400000000002</v>
      </c>
      <c r="BI11" s="748"/>
      <c r="BJ11" t="s">
        <v>497</v>
      </c>
      <c r="BK11" t="s">
        <v>1458</v>
      </c>
      <c r="BL11">
        <v>12677.297595888325</v>
      </c>
      <c r="BM11">
        <v>12.677297595888325</v>
      </c>
    </row>
    <row r="12" spans="1:65" ht="14.4" x14ac:dyDescent="0.3">
      <c r="A12" s="446" t="s">
        <v>1457</v>
      </c>
      <c r="B12" s="196">
        <v>0</v>
      </c>
      <c r="C12" s="196">
        <v>237.99999803304601</v>
      </c>
      <c r="D12" s="196">
        <v>0</v>
      </c>
      <c r="E12" s="196">
        <v>237.99999803304601</v>
      </c>
      <c r="F12" s="196">
        <v>0</v>
      </c>
      <c r="G12" s="196">
        <v>133.99999961256901</v>
      </c>
      <c r="H12" s="196">
        <v>0</v>
      </c>
      <c r="I12" s="196">
        <v>133.99999961256901</v>
      </c>
      <c r="J12" s="196">
        <v>0</v>
      </c>
      <c r="K12" s="196">
        <v>107.999995350837</v>
      </c>
      <c r="L12" s="196">
        <v>0</v>
      </c>
      <c r="M12" s="196">
        <v>107.999995350837</v>
      </c>
      <c r="N12" s="196">
        <v>0</v>
      </c>
      <c r="O12" s="196">
        <v>257.99999386072102</v>
      </c>
      <c r="P12" s="196">
        <v>0</v>
      </c>
      <c r="Q12" s="196">
        <v>257.99999386072102</v>
      </c>
      <c r="R12" s="196">
        <v>0</v>
      </c>
      <c r="S12" s="196">
        <v>170.99999636411599</v>
      </c>
      <c r="T12" s="196">
        <v>0</v>
      </c>
      <c r="U12" s="196">
        <v>170.99999636411599</v>
      </c>
      <c r="V12" s="196">
        <v>0</v>
      </c>
      <c r="W12" s="196">
        <v>258.00000131130201</v>
      </c>
      <c r="X12" s="196">
        <v>0</v>
      </c>
      <c r="Y12" s="196">
        <v>258.00000131130201</v>
      </c>
      <c r="Z12" s="196">
        <v>0</v>
      </c>
      <c r="AA12" s="196">
        <v>128.99999320507001</v>
      </c>
      <c r="AB12" s="196">
        <v>0</v>
      </c>
      <c r="AC12" s="196">
        <v>128.99999320507001</v>
      </c>
      <c r="AD12" s="196">
        <v>0</v>
      </c>
      <c r="AE12" s="196">
        <v>342.00000762939402</v>
      </c>
      <c r="AF12" s="196">
        <v>0</v>
      </c>
      <c r="AG12" s="196">
        <v>342.00000762939402</v>
      </c>
      <c r="AH12" s="196">
        <v>0</v>
      </c>
      <c r="AI12" s="196">
        <v>318.00000369548798</v>
      </c>
      <c r="AJ12" s="196">
        <v>0</v>
      </c>
      <c r="AK12" s="196">
        <v>318.00000369548798</v>
      </c>
      <c r="AL12" s="196">
        <v>0</v>
      </c>
      <c r="AM12" s="196">
        <v>245.999999344348</v>
      </c>
      <c r="AN12" s="196">
        <v>0</v>
      </c>
      <c r="AO12" s="196">
        <v>245.999999344348</v>
      </c>
      <c r="AP12" s="196">
        <v>0</v>
      </c>
      <c r="AQ12" s="196">
        <v>302.99998819827999</v>
      </c>
      <c r="AR12" s="196">
        <v>0</v>
      </c>
      <c r="AS12" s="196">
        <v>302.99998819827999</v>
      </c>
      <c r="AT12" s="196">
        <v>0</v>
      </c>
      <c r="AU12" s="196">
        <v>115.999996662139</v>
      </c>
      <c r="AV12" s="196">
        <v>0</v>
      </c>
      <c r="AW12" s="196">
        <v>115.999996662139</v>
      </c>
      <c r="AX12" s="196">
        <v>0</v>
      </c>
      <c r="AY12" s="196">
        <v>2620.99997326731</v>
      </c>
      <c r="AZ12" s="196">
        <v>0</v>
      </c>
      <c r="BA12" s="196">
        <v>2620.99997326731</v>
      </c>
      <c r="BC12" s="747" t="s">
        <v>968</v>
      </c>
      <c r="BD12" t="s">
        <v>1459</v>
      </c>
      <c r="BE12">
        <v>2.6600000000000006</v>
      </c>
      <c r="BF12">
        <v>0</v>
      </c>
      <c r="BG12">
        <v>1.55</v>
      </c>
      <c r="BH12">
        <v>4.2100000000000009</v>
      </c>
      <c r="BI12" s="748"/>
      <c r="BJ12" t="s">
        <v>502</v>
      </c>
      <c r="BK12" t="s">
        <v>1456</v>
      </c>
      <c r="BL12">
        <v>2692.424004606431</v>
      </c>
      <c r="BM12">
        <v>2.6924240046064312</v>
      </c>
    </row>
    <row r="13" spans="1:65" ht="14.4" x14ac:dyDescent="0.3">
      <c r="A13" s="446" t="s">
        <v>1458</v>
      </c>
      <c r="B13" s="196">
        <v>858.60000178217797</v>
      </c>
      <c r="C13" s="196">
        <v>0</v>
      </c>
      <c r="D13" s="196">
        <v>0</v>
      </c>
      <c r="E13" s="196">
        <v>858.60000178217797</v>
      </c>
      <c r="F13" s="196">
        <v>1188.6886917054601</v>
      </c>
      <c r="G13" s="196">
        <v>0</v>
      </c>
      <c r="H13" s="196">
        <v>0</v>
      </c>
      <c r="I13" s="196">
        <v>1188.6886917054601</v>
      </c>
      <c r="J13" s="196">
        <v>1309.9273927509701</v>
      </c>
      <c r="K13" s="196">
        <v>0</v>
      </c>
      <c r="L13" s="196">
        <v>0</v>
      </c>
      <c r="M13" s="196">
        <v>1309.9273927509701</v>
      </c>
      <c r="N13" s="196">
        <v>1400.6135873496501</v>
      </c>
      <c r="O13" s="196">
        <v>0</v>
      </c>
      <c r="P13" s="196">
        <v>0</v>
      </c>
      <c r="Q13" s="196">
        <v>1400.6135873496501</v>
      </c>
      <c r="R13" s="196">
        <v>1021.11110463738</v>
      </c>
      <c r="S13" s="196">
        <v>0</v>
      </c>
      <c r="T13" s="196">
        <v>0</v>
      </c>
      <c r="U13" s="196">
        <v>1021.11110463738</v>
      </c>
      <c r="V13" s="196">
        <v>1059.48292091488</v>
      </c>
      <c r="W13" s="196">
        <v>0</v>
      </c>
      <c r="X13" s="196">
        <v>0</v>
      </c>
      <c r="Y13" s="196">
        <v>1059.48292091488</v>
      </c>
      <c r="Z13" s="196">
        <v>1050.3100920468501</v>
      </c>
      <c r="AA13" s="196">
        <v>0</v>
      </c>
      <c r="AB13" s="196">
        <v>0</v>
      </c>
      <c r="AC13" s="196">
        <v>1050.3100920468501</v>
      </c>
      <c r="AD13" s="196">
        <v>718.10489706695</v>
      </c>
      <c r="AE13" s="196">
        <v>0</v>
      </c>
      <c r="AF13" s="196">
        <v>0</v>
      </c>
      <c r="AG13" s="196">
        <v>718.10489706695</v>
      </c>
      <c r="AH13" s="196">
        <v>1153.0000045895499</v>
      </c>
      <c r="AI13" s="196">
        <v>0</v>
      </c>
      <c r="AJ13" s="196">
        <v>0</v>
      </c>
      <c r="AK13" s="196">
        <v>1153.0000045895499</v>
      </c>
      <c r="AL13" s="196">
        <v>940.14999642968098</v>
      </c>
      <c r="AM13" s="196">
        <v>0</v>
      </c>
      <c r="AN13" s="196">
        <v>0</v>
      </c>
      <c r="AO13" s="196">
        <v>940.14999642968098</v>
      </c>
      <c r="AP13" s="196">
        <v>1065.62510132789</v>
      </c>
      <c r="AQ13" s="196">
        <v>0</v>
      </c>
      <c r="AR13" s="196">
        <v>0</v>
      </c>
      <c r="AS13" s="196">
        <v>1065.62510132789</v>
      </c>
      <c r="AT13" s="196">
        <v>911.68380528688397</v>
      </c>
      <c r="AU13" s="196">
        <v>0</v>
      </c>
      <c r="AV13" s="196">
        <v>0</v>
      </c>
      <c r="AW13" s="196">
        <v>911.68380528688397</v>
      </c>
      <c r="AX13" s="196">
        <v>12677.297595888325</v>
      </c>
      <c r="AY13" s="196">
        <v>0</v>
      </c>
      <c r="AZ13" s="196">
        <v>0</v>
      </c>
      <c r="BA13" s="196">
        <v>12677.297595888325</v>
      </c>
      <c r="BC13" s="747" t="s">
        <v>461</v>
      </c>
      <c r="BD13" t="s">
        <v>1455</v>
      </c>
      <c r="BE13">
        <v>5.0227959901094374</v>
      </c>
      <c r="BF13">
        <v>2.616955401375884</v>
      </c>
      <c r="BG13">
        <v>3.9870999990962401</v>
      </c>
      <c r="BH13">
        <v>11.62685139058156</v>
      </c>
      <c r="BI13" s="748"/>
      <c r="BJ13" t="s">
        <v>502</v>
      </c>
      <c r="BK13" t="s">
        <v>1457</v>
      </c>
      <c r="BL13">
        <v>2318.8143027946307</v>
      </c>
      <c r="BM13">
        <v>2.3188143027946309</v>
      </c>
    </row>
    <row r="14" spans="1:65" ht="14.4" x14ac:dyDescent="0.3">
      <c r="A14" s="197" t="s">
        <v>502</v>
      </c>
      <c r="B14" s="196">
        <v>394.00000334717299</v>
      </c>
      <c r="C14" s="196">
        <v>76.4999995008111</v>
      </c>
      <c r="D14" s="196">
        <v>249.45409968495301</v>
      </c>
      <c r="E14" s="196">
        <v>719.9541025329371</v>
      </c>
      <c r="F14" s="196">
        <v>425.31249998137298</v>
      </c>
      <c r="G14" s="196">
        <v>56.499999016523297</v>
      </c>
      <c r="H14" s="196">
        <v>209.08370171673499</v>
      </c>
      <c r="I14" s="196">
        <v>690.89620071463128</v>
      </c>
      <c r="J14" s="196">
        <v>473.14309910870992</v>
      </c>
      <c r="K14" s="196">
        <v>227.23501389639301</v>
      </c>
      <c r="L14" s="196">
        <v>203.56330339563999</v>
      </c>
      <c r="M14" s="196">
        <v>903.94141640074292</v>
      </c>
      <c r="N14" s="196">
        <v>500.08750148117491</v>
      </c>
      <c r="O14" s="196">
        <v>134.90170390534999</v>
      </c>
      <c r="P14" s="196">
        <v>220.00000276602799</v>
      </c>
      <c r="Q14" s="196">
        <v>854.98920815255292</v>
      </c>
      <c r="R14" s="196">
        <v>543.71529538184404</v>
      </c>
      <c r="S14" s="196">
        <v>98.554725509547211</v>
      </c>
      <c r="T14" s="196">
        <v>217.73940185084899</v>
      </c>
      <c r="U14" s="196">
        <v>860.0094227422403</v>
      </c>
      <c r="V14" s="196">
        <v>544.85610336996604</v>
      </c>
      <c r="W14" s="196">
        <v>365.94771037101299</v>
      </c>
      <c r="X14" s="196">
        <v>163.437156224256</v>
      </c>
      <c r="Y14" s="196">
        <v>1074.2409699652349</v>
      </c>
      <c r="Z14" s="196">
        <v>477.54809795878799</v>
      </c>
      <c r="AA14" s="196">
        <v>210.70316588177801</v>
      </c>
      <c r="AB14" s="196">
        <v>197.527794415497</v>
      </c>
      <c r="AC14" s="196">
        <v>885.77905825606308</v>
      </c>
      <c r="AD14" s="196">
        <v>357.33910184353488</v>
      </c>
      <c r="AE14" s="196">
        <v>159.71597065820799</v>
      </c>
      <c r="AF14" s="196">
        <v>236.4593509119</v>
      </c>
      <c r="AG14" s="196">
        <v>753.51442341364282</v>
      </c>
      <c r="AH14" s="196">
        <v>521.58510102890398</v>
      </c>
      <c r="AI14" s="196">
        <v>293.75601655095301</v>
      </c>
      <c r="AJ14" s="196">
        <v>199.106466252616</v>
      </c>
      <c r="AK14" s="196">
        <v>1014.447583832473</v>
      </c>
      <c r="AL14" s="196">
        <v>402.65750000253303</v>
      </c>
      <c r="AM14" s="196">
        <v>207.53754168405499</v>
      </c>
      <c r="AN14" s="196">
        <v>361.51006260089702</v>
      </c>
      <c r="AO14" s="196">
        <v>971.70510428748503</v>
      </c>
      <c r="AP14" s="196">
        <v>370.99890084937198</v>
      </c>
      <c r="AQ14" s="196">
        <v>295.96245888963909</v>
      </c>
      <c r="AR14" s="196">
        <v>247.26666695836801</v>
      </c>
      <c r="AS14" s="196">
        <v>914.22802669737916</v>
      </c>
      <c r="AT14" s="196">
        <v>437.12580204009998</v>
      </c>
      <c r="AU14" s="196">
        <v>191.49999693036</v>
      </c>
      <c r="AV14" s="196">
        <v>187.275997828692</v>
      </c>
      <c r="AW14" s="196">
        <v>815.90179679915195</v>
      </c>
      <c r="AX14" s="196">
        <v>5448.3690063934737</v>
      </c>
      <c r="AY14" s="196">
        <v>2318.8143027946307</v>
      </c>
      <c r="AZ14" s="196">
        <v>2692.424004606431</v>
      </c>
      <c r="BA14" s="196">
        <v>10459.607313794535</v>
      </c>
      <c r="BC14" s="747" t="s">
        <v>462</v>
      </c>
      <c r="BD14" t="s">
        <v>1455</v>
      </c>
      <c r="BE14">
        <v>1.7002687125932381</v>
      </c>
      <c r="BF14">
        <v>0.93982589314691478</v>
      </c>
      <c r="BG14">
        <v>11.760000251233537</v>
      </c>
      <c r="BH14">
        <v>14.40009485697369</v>
      </c>
      <c r="BI14" s="748"/>
      <c r="BJ14" t="s">
        <v>502</v>
      </c>
      <c r="BK14" t="s">
        <v>1458</v>
      </c>
      <c r="BL14">
        <v>5448.3690063934737</v>
      </c>
      <c r="BM14">
        <v>5.4483690063934738</v>
      </c>
    </row>
    <row r="15" spans="1:65" ht="14.4" x14ac:dyDescent="0.3">
      <c r="A15" s="446" t="s">
        <v>1456</v>
      </c>
      <c r="B15" s="196">
        <v>0</v>
      </c>
      <c r="C15" s="196">
        <v>0</v>
      </c>
      <c r="D15" s="196">
        <v>249.45409968495301</v>
      </c>
      <c r="E15" s="196">
        <v>249.45409968495301</v>
      </c>
      <c r="F15" s="196">
        <v>0</v>
      </c>
      <c r="G15" s="196">
        <v>0</v>
      </c>
      <c r="H15" s="196">
        <v>209.08370171673499</v>
      </c>
      <c r="I15" s="196">
        <v>209.08370171673499</v>
      </c>
      <c r="J15" s="196">
        <v>0</v>
      </c>
      <c r="K15" s="196">
        <v>0</v>
      </c>
      <c r="L15" s="196">
        <v>203.56330339563999</v>
      </c>
      <c r="M15" s="196">
        <v>203.56330339563999</v>
      </c>
      <c r="N15" s="196">
        <v>0</v>
      </c>
      <c r="O15" s="196">
        <v>0</v>
      </c>
      <c r="P15" s="196">
        <v>220.00000276602799</v>
      </c>
      <c r="Q15" s="196">
        <v>220.00000276602799</v>
      </c>
      <c r="R15" s="196">
        <v>0</v>
      </c>
      <c r="S15" s="196">
        <v>0</v>
      </c>
      <c r="T15" s="196">
        <v>217.73940185084899</v>
      </c>
      <c r="U15" s="196">
        <v>217.73940185084899</v>
      </c>
      <c r="V15" s="196">
        <v>0</v>
      </c>
      <c r="W15" s="196">
        <v>0</v>
      </c>
      <c r="X15" s="196">
        <v>163.437156224256</v>
      </c>
      <c r="Y15" s="196">
        <v>163.437156224256</v>
      </c>
      <c r="Z15" s="196">
        <v>0</v>
      </c>
      <c r="AA15" s="196">
        <v>0</v>
      </c>
      <c r="AB15" s="196">
        <v>197.527794415497</v>
      </c>
      <c r="AC15" s="196">
        <v>197.527794415497</v>
      </c>
      <c r="AD15" s="196">
        <v>0</v>
      </c>
      <c r="AE15" s="196">
        <v>0</v>
      </c>
      <c r="AF15" s="196">
        <v>236.4593509119</v>
      </c>
      <c r="AG15" s="196">
        <v>236.4593509119</v>
      </c>
      <c r="AH15" s="196">
        <v>0</v>
      </c>
      <c r="AI15" s="196">
        <v>0</v>
      </c>
      <c r="AJ15" s="196">
        <v>199.106466252616</v>
      </c>
      <c r="AK15" s="196">
        <v>199.106466252616</v>
      </c>
      <c r="AL15" s="196">
        <v>0</v>
      </c>
      <c r="AM15" s="196">
        <v>0</v>
      </c>
      <c r="AN15" s="196">
        <v>361.51006260089702</v>
      </c>
      <c r="AO15" s="196">
        <v>361.51006260089702</v>
      </c>
      <c r="AP15" s="196">
        <v>0</v>
      </c>
      <c r="AQ15" s="196">
        <v>0</v>
      </c>
      <c r="AR15" s="196">
        <v>247.26666695836801</v>
      </c>
      <c r="AS15" s="196">
        <v>247.26666695836801</v>
      </c>
      <c r="AT15" s="196">
        <v>0</v>
      </c>
      <c r="AU15" s="196">
        <v>0</v>
      </c>
      <c r="AV15" s="196">
        <v>187.275997828692</v>
      </c>
      <c r="AW15" s="196">
        <v>187.275997828692</v>
      </c>
      <c r="AX15" s="196">
        <v>0</v>
      </c>
      <c r="AY15" s="196">
        <v>0</v>
      </c>
      <c r="AZ15" s="196">
        <v>2692.424004606431</v>
      </c>
      <c r="BA15" s="196">
        <v>2692.424004606431</v>
      </c>
      <c r="BC15" s="747" t="s">
        <v>500</v>
      </c>
      <c r="BD15" t="s">
        <v>1455</v>
      </c>
      <c r="BE15">
        <v>9.1982071320526249</v>
      </c>
      <c r="BF15">
        <v>3.1636979207396463</v>
      </c>
      <c r="BG15">
        <v>4.5143506170716092</v>
      </c>
      <c r="BH15">
        <v>16.87625566986388</v>
      </c>
      <c r="BI15" s="748"/>
      <c r="BJ15" t="s">
        <v>499</v>
      </c>
      <c r="BK15" t="s">
        <v>1456</v>
      </c>
      <c r="BL15">
        <v>3709.530314430589</v>
      </c>
      <c r="BM15">
        <v>3.7095303144305891</v>
      </c>
    </row>
    <row r="16" spans="1:65" ht="14.4" x14ac:dyDescent="0.3">
      <c r="A16" s="446" t="s">
        <v>1457</v>
      </c>
      <c r="B16" s="196">
        <v>0</v>
      </c>
      <c r="C16" s="196">
        <v>76.4999995008111</v>
      </c>
      <c r="D16" s="196">
        <v>0</v>
      </c>
      <c r="E16" s="196">
        <v>76.4999995008111</v>
      </c>
      <c r="F16" s="196">
        <v>0</v>
      </c>
      <c r="G16" s="196">
        <v>56.499999016523297</v>
      </c>
      <c r="H16" s="196">
        <v>0</v>
      </c>
      <c r="I16" s="196">
        <v>56.499999016523297</v>
      </c>
      <c r="J16" s="196">
        <v>0</v>
      </c>
      <c r="K16" s="196">
        <v>227.23501389639301</v>
      </c>
      <c r="L16" s="196">
        <v>0</v>
      </c>
      <c r="M16" s="196">
        <v>227.23501389639301</v>
      </c>
      <c r="N16" s="196">
        <v>0</v>
      </c>
      <c r="O16" s="196">
        <v>134.90170390534999</v>
      </c>
      <c r="P16" s="196">
        <v>0</v>
      </c>
      <c r="Q16" s="196">
        <v>134.90170390534999</v>
      </c>
      <c r="R16" s="196">
        <v>0</v>
      </c>
      <c r="S16" s="196">
        <v>98.554725509547211</v>
      </c>
      <c r="T16" s="196">
        <v>0</v>
      </c>
      <c r="U16" s="196">
        <v>98.554725509547211</v>
      </c>
      <c r="V16" s="196">
        <v>0</v>
      </c>
      <c r="W16" s="196">
        <v>365.94771037101299</v>
      </c>
      <c r="X16" s="196">
        <v>0</v>
      </c>
      <c r="Y16" s="196">
        <v>365.94771037101299</v>
      </c>
      <c r="Z16" s="196">
        <v>0</v>
      </c>
      <c r="AA16" s="196">
        <v>210.70316588177801</v>
      </c>
      <c r="AB16" s="196">
        <v>0</v>
      </c>
      <c r="AC16" s="196">
        <v>210.70316588177801</v>
      </c>
      <c r="AD16" s="196">
        <v>0</v>
      </c>
      <c r="AE16" s="196">
        <v>159.71597065820799</v>
      </c>
      <c r="AF16" s="196">
        <v>0</v>
      </c>
      <c r="AG16" s="196">
        <v>159.71597065820799</v>
      </c>
      <c r="AH16" s="196">
        <v>0</v>
      </c>
      <c r="AI16" s="196">
        <v>293.75601655095301</v>
      </c>
      <c r="AJ16" s="196">
        <v>0</v>
      </c>
      <c r="AK16" s="196">
        <v>293.75601655095301</v>
      </c>
      <c r="AL16" s="196">
        <v>0</v>
      </c>
      <c r="AM16" s="196">
        <v>207.53754168405499</v>
      </c>
      <c r="AN16" s="196">
        <v>0</v>
      </c>
      <c r="AO16" s="196">
        <v>207.53754168405499</v>
      </c>
      <c r="AP16" s="196">
        <v>0</v>
      </c>
      <c r="AQ16" s="196">
        <v>295.96245888963909</v>
      </c>
      <c r="AR16" s="196">
        <v>0</v>
      </c>
      <c r="AS16" s="196">
        <v>295.96245888963909</v>
      </c>
      <c r="AT16" s="196">
        <v>0</v>
      </c>
      <c r="AU16" s="196">
        <v>191.49999693036</v>
      </c>
      <c r="AV16" s="196">
        <v>0</v>
      </c>
      <c r="AW16" s="196">
        <v>191.49999693036</v>
      </c>
      <c r="AX16" s="196">
        <v>0</v>
      </c>
      <c r="AY16" s="196">
        <v>2318.8143027946307</v>
      </c>
      <c r="AZ16" s="196">
        <v>0</v>
      </c>
      <c r="BA16" s="196">
        <v>2318.8143027946307</v>
      </c>
      <c r="BC16" s="749" t="s">
        <v>837</v>
      </c>
      <c r="BD16" s="105" t="s">
        <v>1459</v>
      </c>
      <c r="BE16" s="105">
        <v>64.265450000000001</v>
      </c>
      <c r="BF16" s="105">
        <v>8.6617999999999995</v>
      </c>
      <c r="BG16" s="105">
        <v>49.21</v>
      </c>
      <c r="BH16" s="105">
        <v>122.13724999999999</v>
      </c>
      <c r="BI16" s="750"/>
      <c r="BJ16" t="s">
        <v>499</v>
      </c>
      <c r="BK16" t="s">
        <v>1457</v>
      </c>
      <c r="BL16">
        <v>3985.3332899510806</v>
      </c>
      <c r="BM16">
        <v>3.9853332899510807</v>
      </c>
    </row>
    <row r="17" spans="1:71" ht="14.4" x14ac:dyDescent="0.3">
      <c r="A17" s="446" t="s">
        <v>1458</v>
      </c>
      <c r="B17" s="196">
        <v>394.00000334717299</v>
      </c>
      <c r="C17" s="196">
        <v>0</v>
      </c>
      <c r="D17" s="196">
        <v>0</v>
      </c>
      <c r="E17" s="196">
        <v>394.00000334717299</v>
      </c>
      <c r="F17" s="196">
        <v>425.31249998137298</v>
      </c>
      <c r="G17" s="196">
        <v>0</v>
      </c>
      <c r="H17" s="196">
        <v>0</v>
      </c>
      <c r="I17" s="196">
        <v>425.31249998137298</v>
      </c>
      <c r="J17" s="196">
        <v>473.14309910870992</v>
      </c>
      <c r="K17" s="196">
        <v>0</v>
      </c>
      <c r="L17" s="196">
        <v>0</v>
      </c>
      <c r="M17" s="196">
        <v>473.14309910870992</v>
      </c>
      <c r="N17" s="196">
        <v>500.08750148117491</v>
      </c>
      <c r="O17" s="196">
        <v>0</v>
      </c>
      <c r="P17" s="196">
        <v>0</v>
      </c>
      <c r="Q17" s="196">
        <v>500.08750148117491</v>
      </c>
      <c r="R17" s="196">
        <v>543.71529538184404</v>
      </c>
      <c r="S17" s="196">
        <v>0</v>
      </c>
      <c r="T17" s="196">
        <v>0</v>
      </c>
      <c r="U17" s="196">
        <v>543.71529538184404</v>
      </c>
      <c r="V17" s="196">
        <v>544.85610336996604</v>
      </c>
      <c r="W17" s="196">
        <v>0</v>
      </c>
      <c r="X17" s="196">
        <v>0</v>
      </c>
      <c r="Y17" s="196">
        <v>544.85610336996604</v>
      </c>
      <c r="Z17" s="196">
        <v>477.54809795878799</v>
      </c>
      <c r="AA17" s="196">
        <v>0</v>
      </c>
      <c r="AB17" s="196">
        <v>0</v>
      </c>
      <c r="AC17" s="196">
        <v>477.54809795878799</v>
      </c>
      <c r="AD17" s="196">
        <v>357.33910184353488</v>
      </c>
      <c r="AE17" s="196">
        <v>0</v>
      </c>
      <c r="AF17" s="196">
        <v>0</v>
      </c>
      <c r="AG17" s="196">
        <v>357.33910184353488</v>
      </c>
      <c r="AH17" s="196">
        <v>521.58510102890398</v>
      </c>
      <c r="AI17" s="196">
        <v>0</v>
      </c>
      <c r="AJ17" s="196">
        <v>0</v>
      </c>
      <c r="AK17" s="196">
        <v>521.58510102890398</v>
      </c>
      <c r="AL17" s="196">
        <v>402.65750000253303</v>
      </c>
      <c r="AM17" s="196">
        <v>0</v>
      </c>
      <c r="AN17" s="196">
        <v>0</v>
      </c>
      <c r="AO17" s="196">
        <v>402.65750000253303</v>
      </c>
      <c r="AP17" s="196">
        <v>370.99890084937198</v>
      </c>
      <c r="AQ17" s="196">
        <v>0</v>
      </c>
      <c r="AR17" s="196">
        <v>0</v>
      </c>
      <c r="AS17" s="196">
        <v>370.99890084937198</v>
      </c>
      <c r="AT17" s="196">
        <v>437.12580204009998</v>
      </c>
      <c r="AU17" s="196">
        <v>0</v>
      </c>
      <c r="AV17" s="196">
        <v>0</v>
      </c>
      <c r="AW17" s="196">
        <v>437.12580204009998</v>
      </c>
      <c r="AX17" s="196">
        <v>5448.3690063934737</v>
      </c>
      <c r="AY17" s="196">
        <v>0</v>
      </c>
      <c r="AZ17" s="196">
        <v>0</v>
      </c>
      <c r="BA17" s="196">
        <v>5448.3690063934737</v>
      </c>
      <c r="BC17" s="747" t="s">
        <v>516</v>
      </c>
      <c r="BD17" t="s">
        <v>1159</v>
      </c>
      <c r="BE17">
        <v>10.7</v>
      </c>
      <c r="BF17">
        <v>0.38</v>
      </c>
      <c r="BG17">
        <v>2.33</v>
      </c>
      <c r="BH17">
        <v>13.41</v>
      </c>
      <c r="BI17" s="748"/>
      <c r="BJ17" t="s">
        <v>499</v>
      </c>
      <c r="BK17" t="s">
        <v>1458</v>
      </c>
      <c r="BL17">
        <v>3409.3410195782712</v>
      </c>
      <c r="BM17">
        <v>3.4093410195782714</v>
      </c>
    </row>
    <row r="18" spans="1:71" ht="14.4" x14ac:dyDescent="0.3">
      <c r="A18" s="197" t="s">
        <v>499</v>
      </c>
      <c r="B18" s="196">
        <v>187.99999728798801</v>
      </c>
      <c r="C18" s="196">
        <v>183.999996632337</v>
      </c>
      <c r="D18" s="196">
        <v>179.98149991035399</v>
      </c>
      <c r="E18" s="196">
        <v>551.98149383067903</v>
      </c>
      <c r="F18" s="196">
        <v>226.500002667307</v>
      </c>
      <c r="G18" s="196">
        <v>368.000000715255</v>
      </c>
      <c r="H18" s="196">
        <v>149.749998003244</v>
      </c>
      <c r="I18" s="196">
        <v>744.25000138580594</v>
      </c>
      <c r="J18" s="196">
        <v>316.999994218349</v>
      </c>
      <c r="K18" s="196">
        <v>349.99999403953501</v>
      </c>
      <c r="L18" s="196">
        <v>265.81249944865698</v>
      </c>
      <c r="M18" s="196">
        <v>932.81248770654099</v>
      </c>
      <c r="N18" s="196">
        <v>304.99999970197598</v>
      </c>
      <c r="O18" s="196">
        <v>371.99998646974501</v>
      </c>
      <c r="P18" s="196">
        <v>453.00000160932501</v>
      </c>
      <c r="Q18" s="196">
        <v>1129.999987781046</v>
      </c>
      <c r="R18" s="196">
        <v>233.75000711530399</v>
      </c>
      <c r="S18" s="196">
        <v>313.33329528570101</v>
      </c>
      <c r="T18" s="196">
        <v>461.56251057982399</v>
      </c>
      <c r="U18" s="196">
        <v>1008.6458129808291</v>
      </c>
      <c r="V18" s="196">
        <v>239.18750137090601</v>
      </c>
      <c r="W18" s="196">
        <v>269.99999582767401</v>
      </c>
      <c r="X18" s="196">
        <v>220.00000253319701</v>
      </c>
      <c r="Y18" s="196">
        <v>729.18749973177705</v>
      </c>
      <c r="Z18" s="196">
        <v>430.72610348463002</v>
      </c>
      <c r="AA18" s="196">
        <v>514.00001347064904</v>
      </c>
      <c r="AB18" s="196">
        <v>500.72669237852102</v>
      </c>
      <c r="AC18" s="196">
        <v>1445.4528093337999</v>
      </c>
      <c r="AD18" s="196">
        <v>195.17740607261601</v>
      </c>
      <c r="AE18" s="196">
        <v>155.99999576806999</v>
      </c>
      <c r="AF18" s="196">
        <v>284.20020639896302</v>
      </c>
      <c r="AG18" s="196">
        <v>635.37760823964902</v>
      </c>
      <c r="AH18" s="196">
        <v>241.999994963407</v>
      </c>
      <c r="AI18" s="196">
        <v>260.00000536441797</v>
      </c>
      <c r="AJ18" s="196">
        <v>310.054503381252</v>
      </c>
      <c r="AK18" s="196">
        <v>812.05450370907693</v>
      </c>
      <c r="AL18" s="196">
        <v>320.00001147389401</v>
      </c>
      <c r="AM18" s="196">
        <v>574.00000095367398</v>
      </c>
      <c r="AN18" s="196">
        <v>323.39200004935202</v>
      </c>
      <c r="AO18" s="196">
        <v>1217.3920124769202</v>
      </c>
      <c r="AP18" s="196">
        <v>303.00000123679598</v>
      </c>
      <c r="AQ18" s="196">
        <v>254.00000065565101</v>
      </c>
      <c r="AR18" s="196">
        <v>372.32060171663699</v>
      </c>
      <c r="AS18" s="196">
        <v>929.32060360908395</v>
      </c>
      <c r="AT18" s="196">
        <v>408.99999998509799</v>
      </c>
      <c r="AU18" s="196">
        <v>370.00000476837101</v>
      </c>
      <c r="AV18" s="196">
        <v>188.72979842126301</v>
      </c>
      <c r="AW18" s="196">
        <v>967.72980317473207</v>
      </c>
      <c r="AX18" s="196">
        <v>3409.3410195782712</v>
      </c>
      <c r="AY18" s="196">
        <v>3985.3332899510806</v>
      </c>
      <c r="AZ18" s="196">
        <v>3709.530314430589</v>
      </c>
      <c r="BA18" s="196">
        <v>11104.20462395994</v>
      </c>
      <c r="BC18" s="747" t="s">
        <v>460</v>
      </c>
      <c r="BD18" t="s">
        <v>1455</v>
      </c>
      <c r="BE18">
        <v>1.484</v>
      </c>
      <c r="BF18">
        <v>0.72399999999999998</v>
      </c>
      <c r="BG18">
        <v>1.1819999999999999</v>
      </c>
      <c r="BH18">
        <v>3.39</v>
      </c>
      <c r="BI18" s="748"/>
      <c r="BJ18" s="105" t="s">
        <v>456</v>
      </c>
      <c r="BK18" s="105" t="s">
        <v>1456</v>
      </c>
      <c r="BL18" s="105">
        <v>15523.636363636364</v>
      </c>
      <c r="BM18" s="105">
        <v>15.523636363636363</v>
      </c>
    </row>
    <row r="19" spans="1:71" ht="14.4" x14ac:dyDescent="0.3">
      <c r="A19" s="446" t="s">
        <v>1456</v>
      </c>
      <c r="B19" s="196">
        <v>0</v>
      </c>
      <c r="C19" s="196">
        <v>0</v>
      </c>
      <c r="D19" s="196">
        <v>179.98149991035399</v>
      </c>
      <c r="E19" s="196">
        <v>179.98149991035399</v>
      </c>
      <c r="F19" s="196">
        <v>0</v>
      </c>
      <c r="G19" s="196">
        <v>0</v>
      </c>
      <c r="H19" s="196">
        <v>149.749998003244</v>
      </c>
      <c r="I19" s="196">
        <v>149.749998003244</v>
      </c>
      <c r="J19" s="196">
        <v>0</v>
      </c>
      <c r="K19" s="196">
        <v>0</v>
      </c>
      <c r="L19" s="196">
        <v>265.81249944865698</v>
      </c>
      <c r="M19" s="196">
        <v>265.81249944865698</v>
      </c>
      <c r="N19" s="196">
        <v>0</v>
      </c>
      <c r="O19" s="196">
        <v>0</v>
      </c>
      <c r="P19" s="196">
        <v>453.00000160932501</v>
      </c>
      <c r="Q19" s="196">
        <v>453.00000160932501</v>
      </c>
      <c r="R19" s="196">
        <v>0</v>
      </c>
      <c r="S19" s="196">
        <v>0</v>
      </c>
      <c r="T19" s="196">
        <v>461.56251057982399</v>
      </c>
      <c r="U19" s="196">
        <v>461.56251057982399</v>
      </c>
      <c r="V19" s="196">
        <v>0</v>
      </c>
      <c r="W19" s="196">
        <v>0</v>
      </c>
      <c r="X19" s="196">
        <v>220.00000253319701</v>
      </c>
      <c r="Y19" s="196">
        <v>220.00000253319701</v>
      </c>
      <c r="Z19" s="196">
        <v>0</v>
      </c>
      <c r="AA19" s="196">
        <v>0</v>
      </c>
      <c r="AB19" s="196">
        <v>500.72669237852102</v>
      </c>
      <c r="AC19" s="196">
        <v>500.72669237852102</v>
      </c>
      <c r="AD19" s="196">
        <v>0</v>
      </c>
      <c r="AE19" s="196">
        <v>0</v>
      </c>
      <c r="AF19" s="196">
        <v>284.20020639896302</v>
      </c>
      <c r="AG19" s="196">
        <v>284.20020639896302</v>
      </c>
      <c r="AH19" s="196">
        <v>0</v>
      </c>
      <c r="AI19" s="196">
        <v>0</v>
      </c>
      <c r="AJ19" s="196">
        <v>310.054503381252</v>
      </c>
      <c r="AK19" s="196">
        <v>310.054503381252</v>
      </c>
      <c r="AL19" s="196">
        <v>0</v>
      </c>
      <c r="AM19" s="196">
        <v>0</v>
      </c>
      <c r="AN19" s="196">
        <v>323.39200004935202</v>
      </c>
      <c r="AO19" s="196">
        <v>323.39200004935202</v>
      </c>
      <c r="AP19" s="196">
        <v>0</v>
      </c>
      <c r="AQ19" s="196">
        <v>0</v>
      </c>
      <c r="AR19" s="196">
        <v>372.32060171663699</v>
      </c>
      <c r="AS19" s="196">
        <v>372.32060171663699</v>
      </c>
      <c r="AT19" s="196">
        <v>0</v>
      </c>
      <c r="AU19" s="196">
        <v>0</v>
      </c>
      <c r="AV19" s="196">
        <v>188.72979842126301</v>
      </c>
      <c r="AW19" s="196">
        <v>188.72979842126301</v>
      </c>
      <c r="AX19" s="196">
        <v>0</v>
      </c>
      <c r="AY19" s="196">
        <v>0</v>
      </c>
      <c r="AZ19" s="196">
        <v>3709.530314430589</v>
      </c>
      <c r="BA19" s="196">
        <v>3709.530314430589</v>
      </c>
      <c r="BC19" s="747" t="s">
        <v>515</v>
      </c>
      <c r="BD19" t="s">
        <v>1159</v>
      </c>
      <c r="BE19">
        <v>2.4409999999999998</v>
      </c>
      <c r="BF19">
        <v>0.317</v>
      </c>
      <c r="BG19">
        <v>1.002</v>
      </c>
      <c r="BH19">
        <v>3.76</v>
      </c>
      <c r="BI19" s="748"/>
      <c r="BJ19" s="105" t="s">
        <v>456</v>
      </c>
      <c r="BK19" s="105" t="s">
        <v>1457</v>
      </c>
      <c r="BL19" s="105">
        <v>1920</v>
      </c>
      <c r="BM19" s="105">
        <v>1.92</v>
      </c>
    </row>
    <row r="20" spans="1:71" ht="14.4" x14ac:dyDescent="0.3">
      <c r="A20" s="446" t="s">
        <v>1457</v>
      </c>
      <c r="B20" s="196">
        <v>0</v>
      </c>
      <c r="C20" s="196">
        <v>183.999996632337</v>
      </c>
      <c r="D20" s="196">
        <v>0</v>
      </c>
      <c r="E20" s="196">
        <v>183.999996632337</v>
      </c>
      <c r="F20" s="196">
        <v>0</v>
      </c>
      <c r="G20" s="196">
        <v>368.000000715255</v>
      </c>
      <c r="H20" s="196">
        <v>0</v>
      </c>
      <c r="I20" s="196">
        <v>368.000000715255</v>
      </c>
      <c r="J20" s="196">
        <v>0</v>
      </c>
      <c r="K20" s="196">
        <v>349.99999403953501</v>
      </c>
      <c r="L20" s="196">
        <v>0</v>
      </c>
      <c r="M20" s="196">
        <v>349.99999403953501</v>
      </c>
      <c r="N20" s="196">
        <v>0</v>
      </c>
      <c r="O20" s="196">
        <v>371.99998646974501</v>
      </c>
      <c r="P20" s="196">
        <v>0</v>
      </c>
      <c r="Q20" s="196">
        <v>371.99998646974501</v>
      </c>
      <c r="R20" s="196">
        <v>0</v>
      </c>
      <c r="S20" s="196">
        <v>313.33329528570101</v>
      </c>
      <c r="T20" s="196">
        <v>0</v>
      </c>
      <c r="U20" s="196">
        <v>313.33329528570101</v>
      </c>
      <c r="V20" s="196">
        <v>0</v>
      </c>
      <c r="W20" s="196">
        <v>269.99999582767401</v>
      </c>
      <c r="X20" s="196">
        <v>0</v>
      </c>
      <c r="Y20" s="196">
        <v>269.99999582767401</v>
      </c>
      <c r="Z20" s="196">
        <v>0</v>
      </c>
      <c r="AA20" s="196">
        <v>514.00001347064904</v>
      </c>
      <c r="AB20" s="196">
        <v>0</v>
      </c>
      <c r="AC20" s="196">
        <v>514.00001347064904</v>
      </c>
      <c r="AD20" s="196">
        <v>0</v>
      </c>
      <c r="AE20" s="196">
        <v>155.99999576806999</v>
      </c>
      <c r="AF20" s="196">
        <v>0</v>
      </c>
      <c r="AG20" s="196">
        <v>155.99999576806999</v>
      </c>
      <c r="AH20" s="196">
        <v>0</v>
      </c>
      <c r="AI20" s="196">
        <v>260.00000536441797</v>
      </c>
      <c r="AJ20" s="196">
        <v>0</v>
      </c>
      <c r="AK20" s="196">
        <v>260.00000536441797</v>
      </c>
      <c r="AL20" s="196">
        <v>0</v>
      </c>
      <c r="AM20" s="196">
        <v>574.00000095367398</v>
      </c>
      <c r="AN20" s="196">
        <v>0</v>
      </c>
      <c r="AO20" s="196">
        <v>574.00000095367398</v>
      </c>
      <c r="AP20" s="196">
        <v>0</v>
      </c>
      <c r="AQ20" s="196">
        <v>254.00000065565101</v>
      </c>
      <c r="AR20" s="196">
        <v>0</v>
      </c>
      <c r="AS20" s="196">
        <v>254.00000065565101</v>
      </c>
      <c r="AT20" s="196">
        <v>0</v>
      </c>
      <c r="AU20" s="196">
        <v>370.00000476837101</v>
      </c>
      <c r="AV20" s="196">
        <v>0</v>
      </c>
      <c r="AW20" s="196">
        <v>370.00000476837101</v>
      </c>
      <c r="AX20" s="196">
        <v>0</v>
      </c>
      <c r="AY20" s="196">
        <v>3985.3332899510806</v>
      </c>
      <c r="AZ20" s="196">
        <v>0</v>
      </c>
      <c r="BA20" s="196">
        <v>3985.3332899510806</v>
      </c>
      <c r="BC20" s="747" t="s">
        <v>1460</v>
      </c>
      <c r="BD20" t="s">
        <v>1159</v>
      </c>
      <c r="BE20">
        <v>35.72</v>
      </c>
      <c r="BF20">
        <v>18.36</v>
      </c>
      <c r="BG20">
        <v>15.6</v>
      </c>
      <c r="BH20">
        <v>69.679999999999993</v>
      </c>
      <c r="BI20" s="748"/>
      <c r="BJ20" s="105" t="s">
        <v>456</v>
      </c>
      <c r="BK20" s="105" t="s">
        <v>1458</v>
      </c>
      <c r="BL20" s="105">
        <v>23585.454545454544</v>
      </c>
      <c r="BM20" s="105">
        <v>23.585454545454546</v>
      </c>
    </row>
    <row r="21" spans="1:71" ht="14.4" x14ac:dyDescent="0.3">
      <c r="A21" s="446" t="s">
        <v>1458</v>
      </c>
      <c r="B21" s="196">
        <v>187.99999728798801</v>
      </c>
      <c r="C21" s="196">
        <v>0</v>
      </c>
      <c r="D21" s="196">
        <v>0</v>
      </c>
      <c r="E21" s="196">
        <v>187.99999728798801</v>
      </c>
      <c r="F21" s="196">
        <v>226.500002667307</v>
      </c>
      <c r="G21" s="196">
        <v>0</v>
      </c>
      <c r="H21" s="196">
        <v>0</v>
      </c>
      <c r="I21" s="196">
        <v>226.500002667307</v>
      </c>
      <c r="J21" s="196">
        <v>316.999994218349</v>
      </c>
      <c r="K21" s="196">
        <v>0</v>
      </c>
      <c r="L21" s="196">
        <v>0</v>
      </c>
      <c r="M21" s="196">
        <v>316.999994218349</v>
      </c>
      <c r="N21" s="196">
        <v>304.99999970197598</v>
      </c>
      <c r="O21" s="196">
        <v>0</v>
      </c>
      <c r="P21" s="196">
        <v>0</v>
      </c>
      <c r="Q21" s="196">
        <v>304.99999970197598</v>
      </c>
      <c r="R21" s="196">
        <v>233.75000711530399</v>
      </c>
      <c r="S21" s="196">
        <v>0</v>
      </c>
      <c r="T21" s="196">
        <v>0</v>
      </c>
      <c r="U21" s="196">
        <v>233.75000711530399</v>
      </c>
      <c r="V21" s="196">
        <v>239.18750137090601</v>
      </c>
      <c r="W21" s="196">
        <v>0</v>
      </c>
      <c r="X21" s="196">
        <v>0</v>
      </c>
      <c r="Y21" s="196">
        <v>239.18750137090601</v>
      </c>
      <c r="Z21" s="196">
        <v>430.72610348463002</v>
      </c>
      <c r="AA21" s="196">
        <v>0</v>
      </c>
      <c r="AB21" s="196">
        <v>0</v>
      </c>
      <c r="AC21" s="196">
        <v>430.72610348463002</v>
      </c>
      <c r="AD21" s="196">
        <v>195.17740607261601</v>
      </c>
      <c r="AE21" s="196">
        <v>0</v>
      </c>
      <c r="AF21" s="196">
        <v>0</v>
      </c>
      <c r="AG21" s="196">
        <v>195.17740607261601</v>
      </c>
      <c r="AH21" s="196">
        <v>241.999994963407</v>
      </c>
      <c r="AI21" s="196">
        <v>0</v>
      </c>
      <c r="AJ21" s="196">
        <v>0</v>
      </c>
      <c r="AK21" s="196">
        <v>241.999994963407</v>
      </c>
      <c r="AL21" s="196">
        <v>320.00001147389401</v>
      </c>
      <c r="AM21" s="196">
        <v>0</v>
      </c>
      <c r="AN21" s="196">
        <v>0</v>
      </c>
      <c r="AO21" s="196">
        <v>320.00001147389401</v>
      </c>
      <c r="AP21" s="196">
        <v>303.00000123679598</v>
      </c>
      <c r="AQ21" s="196">
        <v>0</v>
      </c>
      <c r="AR21" s="196">
        <v>0</v>
      </c>
      <c r="AS21" s="196">
        <v>303.00000123679598</v>
      </c>
      <c r="AT21" s="196">
        <v>408.99999998509799</v>
      </c>
      <c r="AU21" s="196">
        <v>0</v>
      </c>
      <c r="AV21" s="196">
        <v>0</v>
      </c>
      <c r="AW21" s="196">
        <v>408.99999998509799</v>
      </c>
      <c r="AX21" s="196">
        <v>3409.3410195782712</v>
      </c>
      <c r="AY21" s="196">
        <v>0</v>
      </c>
      <c r="AZ21" s="196">
        <v>0</v>
      </c>
      <c r="BA21" s="196">
        <v>3409.3410195782712</v>
      </c>
      <c r="BC21" s="747"/>
      <c r="BE21">
        <f>SUM(BE6:BE20)</f>
        <v>183.4288189202139</v>
      </c>
      <c r="BF21">
        <f t="shared" ref="BF21:BG21" si="0">SUM(BF6:BF20)</f>
        <v>47.414397284793353</v>
      </c>
      <c r="BG21">
        <f t="shared" si="0"/>
        <v>564.04035957109932</v>
      </c>
      <c r="BH21" s="543">
        <f>SUM(BE21:BG21)</f>
        <v>794.88357577610657</v>
      </c>
      <c r="BI21" s="748" t="s">
        <v>1461</v>
      </c>
      <c r="BJ21" t="s">
        <v>518</v>
      </c>
      <c r="BK21" t="s">
        <v>1456</v>
      </c>
      <c r="BL21">
        <v>415004</v>
      </c>
      <c r="BM21">
        <v>415.00400000000002</v>
      </c>
    </row>
    <row r="22" spans="1:71" s="105" customFormat="1" ht="14.4" x14ac:dyDescent="0.3">
      <c r="A22" s="390" t="s">
        <v>456</v>
      </c>
      <c r="B22" s="534">
        <v>1965.4545454545455</v>
      </c>
      <c r="C22" s="534">
        <v>160</v>
      </c>
      <c r="D22" s="534">
        <v>1293.6363636363637</v>
      </c>
      <c r="E22" s="534">
        <v>3419</v>
      </c>
      <c r="F22" s="534">
        <v>840</v>
      </c>
      <c r="G22" s="534">
        <v>160</v>
      </c>
      <c r="H22" s="534">
        <v>1430</v>
      </c>
      <c r="I22" s="534">
        <v>2430</v>
      </c>
      <c r="J22" s="534">
        <v>1290</v>
      </c>
      <c r="K22" s="534">
        <v>180</v>
      </c>
      <c r="L22" s="534">
        <v>1850</v>
      </c>
      <c r="M22" s="534">
        <v>3320</v>
      </c>
      <c r="N22" s="534">
        <v>2180</v>
      </c>
      <c r="O22" s="534">
        <v>150</v>
      </c>
      <c r="P22" s="534">
        <v>1550</v>
      </c>
      <c r="Q22" s="534">
        <v>3880</v>
      </c>
      <c r="R22" s="534">
        <v>2500</v>
      </c>
      <c r="S22" s="534">
        <v>140</v>
      </c>
      <c r="T22" s="534">
        <v>600</v>
      </c>
      <c r="U22" s="534">
        <v>3240</v>
      </c>
      <c r="V22" s="534">
        <v>3120</v>
      </c>
      <c r="W22" s="534">
        <v>160</v>
      </c>
      <c r="X22" s="534">
        <v>1610</v>
      </c>
      <c r="Y22" s="534">
        <v>4890</v>
      </c>
      <c r="Z22" s="534">
        <v>2470</v>
      </c>
      <c r="AA22" s="534">
        <v>160</v>
      </c>
      <c r="AB22" s="534">
        <v>1720</v>
      </c>
      <c r="AC22" s="534">
        <v>4350</v>
      </c>
      <c r="AD22" s="534">
        <v>1950</v>
      </c>
      <c r="AE22" s="534">
        <v>190</v>
      </c>
      <c r="AF22" s="534">
        <v>1280</v>
      </c>
      <c r="AG22" s="534">
        <v>3420</v>
      </c>
      <c r="AH22" s="534">
        <v>1650</v>
      </c>
      <c r="AI22" s="534">
        <v>180</v>
      </c>
      <c r="AJ22" s="534">
        <v>1290</v>
      </c>
      <c r="AK22" s="534">
        <v>3120</v>
      </c>
      <c r="AL22" s="534">
        <v>2330</v>
      </c>
      <c r="AM22" s="534">
        <v>150</v>
      </c>
      <c r="AN22" s="534">
        <v>500</v>
      </c>
      <c r="AO22" s="534">
        <v>2980</v>
      </c>
      <c r="AP22" s="534">
        <v>1540</v>
      </c>
      <c r="AQ22" s="534">
        <v>80</v>
      </c>
      <c r="AR22" s="534">
        <v>1260</v>
      </c>
      <c r="AS22" s="534">
        <v>2880</v>
      </c>
      <c r="AT22" s="534">
        <v>1750</v>
      </c>
      <c r="AU22" s="534">
        <v>210</v>
      </c>
      <c r="AV22" s="534">
        <v>1140</v>
      </c>
      <c r="AW22" s="534">
        <v>3100</v>
      </c>
      <c r="AX22" s="534">
        <v>23585.454545454544</v>
      </c>
      <c r="AY22" s="534">
        <v>1920</v>
      </c>
      <c r="AZ22" s="534">
        <v>15523.636363636364</v>
      </c>
      <c r="BA22" s="534">
        <v>41029</v>
      </c>
      <c r="BB22" s="536"/>
      <c r="BC22" s="751"/>
      <c r="BD22" s="536"/>
      <c r="BE22" s="752">
        <f>BE21/SUM(BE21:BG21)</f>
        <v>0.23076186816555883</v>
      </c>
      <c r="BF22" s="752">
        <f>BF21/SUM(BE21:BG21)</f>
        <v>5.9649486704388119E-2</v>
      </c>
      <c r="BG22" s="752">
        <f>BG21/SUM(BE21:BG21)</f>
        <v>0.70958864513005304</v>
      </c>
      <c r="BH22" s="543"/>
      <c r="BI22" s="748"/>
      <c r="BJ22" s="536" t="s">
        <v>968</v>
      </c>
      <c r="BK22" s="536" t="s">
        <v>1456</v>
      </c>
      <c r="BL22" s="536">
        <v>1550</v>
      </c>
      <c r="BM22" s="536">
        <v>1.55</v>
      </c>
      <c r="BN22" s="536"/>
      <c r="BO22" s="536"/>
      <c r="BP22" s="536"/>
      <c r="BQ22" s="536"/>
      <c r="BR22" s="536"/>
      <c r="BS22" s="536"/>
    </row>
    <row r="23" spans="1:71" ht="14.4" x14ac:dyDescent="0.3">
      <c r="A23" s="446" t="s">
        <v>1456</v>
      </c>
      <c r="B23" s="196">
        <v>0</v>
      </c>
      <c r="C23" s="196">
        <v>0</v>
      </c>
      <c r="D23" s="196">
        <v>1293.6363636363637</v>
      </c>
      <c r="E23" s="196">
        <v>1294</v>
      </c>
      <c r="F23" s="196">
        <v>0</v>
      </c>
      <c r="G23" s="196">
        <v>0</v>
      </c>
      <c r="H23" s="196">
        <v>1430</v>
      </c>
      <c r="I23" s="196">
        <v>1430</v>
      </c>
      <c r="J23" s="196">
        <v>0</v>
      </c>
      <c r="K23" s="196">
        <v>0</v>
      </c>
      <c r="L23" s="196">
        <v>1850</v>
      </c>
      <c r="M23" s="196">
        <v>1850</v>
      </c>
      <c r="N23" s="196">
        <v>0</v>
      </c>
      <c r="O23" s="196">
        <v>0</v>
      </c>
      <c r="P23" s="196">
        <v>1550</v>
      </c>
      <c r="Q23" s="196">
        <v>1550</v>
      </c>
      <c r="R23" s="196">
        <v>0</v>
      </c>
      <c r="S23" s="196">
        <v>0</v>
      </c>
      <c r="T23" s="196">
        <v>600</v>
      </c>
      <c r="U23" s="196">
        <v>600</v>
      </c>
      <c r="V23" s="196">
        <v>0</v>
      </c>
      <c r="W23" s="196">
        <v>0</v>
      </c>
      <c r="X23" s="196">
        <v>1610</v>
      </c>
      <c r="Y23" s="196">
        <v>1610</v>
      </c>
      <c r="Z23" s="196">
        <v>0</v>
      </c>
      <c r="AA23" s="196">
        <v>0</v>
      </c>
      <c r="AB23" s="196">
        <v>1720</v>
      </c>
      <c r="AC23" s="196">
        <v>1720</v>
      </c>
      <c r="AD23" s="196">
        <v>0</v>
      </c>
      <c r="AE23" s="196">
        <v>0</v>
      </c>
      <c r="AF23" s="196">
        <v>1280</v>
      </c>
      <c r="AG23" s="196">
        <v>1280</v>
      </c>
      <c r="AH23" s="196">
        <v>0</v>
      </c>
      <c r="AI23" s="196">
        <v>0</v>
      </c>
      <c r="AJ23" s="196">
        <v>1290</v>
      </c>
      <c r="AK23" s="196">
        <v>1290</v>
      </c>
      <c r="AL23" s="196">
        <v>0</v>
      </c>
      <c r="AM23" s="196">
        <v>0</v>
      </c>
      <c r="AN23" s="196">
        <v>500</v>
      </c>
      <c r="AO23" s="196">
        <v>500</v>
      </c>
      <c r="AP23" s="196">
        <v>0</v>
      </c>
      <c r="AQ23" s="196">
        <v>0</v>
      </c>
      <c r="AR23" s="196">
        <v>1260</v>
      </c>
      <c r="AS23" s="196">
        <v>1260</v>
      </c>
      <c r="AT23" s="196">
        <v>0</v>
      </c>
      <c r="AU23" s="196">
        <v>0</v>
      </c>
      <c r="AV23" s="196">
        <v>1140</v>
      </c>
      <c r="AW23" s="196">
        <v>1140</v>
      </c>
      <c r="AX23" s="196">
        <v>0</v>
      </c>
      <c r="AY23" s="196">
        <v>0</v>
      </c>
      <c r="AZ23" s="196">
        <v>15523.636363636364</v>
      </c>
      <c r="BA23" s="196">
        <v>15524</v>
      </c>
      <c r="BB23" s="536"/>
      <c r="BC23" s="747"/>
      <c r="BH23" s="543"/>
      <c r="BI23" s="748"/>
      <c r="BJ23" s="536" t="s">
        <v>968</v>
      </c>
      <c r="BK23" s="536" t="s">
        <v>1458</v>
      </c>
      <c r="BL23" s="536">
        <v>2660.0000000000005</v>
      </c>
      <c r="BM23" s="536">
        <v>2.6600000000000006</v>
      </c>
      <c r="BN23" s="536"/>
      <c r="BO23" s="536"/>
      <c r="BP23" s="536"/>
      <c r="BQ23" s="536"/>
      <c r="BR23" s="536"/>
      <c r="BS23" s="536"/>
    </row>
    <row r="24" spans="1:71" ht="14.4" x14ac:dyDescent="0.3">
      <c r="A24" s="446" t="s">
        <v>1457</v>
      </c>
      <c r="B24" s="196">
        <v>0</v>
      </c>
      <c r="C24" s="196">
        <v>160</v>
      </c>
      <c r="D24" s="196">
        <v>0</v>
      </c>
      <c r="E24" s="196">
        <v>160</v>
      </c>
      <c r="F24" s="196">
        <v>0</v>
      </c>
      <c r="G24" s="196">
        <v>160</v>
      </c>
      <c r="H24" s="196">
        <v>0</v>
      </c>
      <c r="I24" s="196">
        <v>160</v>
      </c>
      <c r="J24" s="196">
        <v>0</v>
      </c>
      <c r="K24" s="196">
        <v>180</v>
      </c>
      <c r="L24" s="196">
        <v>0</v>
      </c>
      <c r="M24" s="196">
        <v>180</v>
      </c>
      <c r="N24" s="196">
        <v>0</v>
      </c>
      <c r="O24" s="196">
        <v>150</v>
      </c>
      <c r="P24" s="196">
        <v>0</v>
      </c>
      <c r="Q24" s="196">
        <v>150</v>
      </c>
      <c r="R24" s="196">
        <v>0</v>
      </c>
      <c r="S24" s="196">
        <v>140</v>
      </c>
      <c r="T24" s="196">
        <v>0</v>
      </c>
      <c r="U24" s="196">
        <v>140</v>
      </c>
      <c r="V24" s="196">
        <v>0</v>
      </c>
      <c r="W24" s="196">
        <v>160</v>
      </c>
      <c r="X24" s="196">
        <v>0</v>
      </c>
      <c r="Y24" s="196">
        <v>160</v>
      </c>
      <c r="Z24" s="196">
        <v>0</v>
      </c>
      <c r="AA24" s="196">
        <v>160</v>
      </c>
      <c r="AB24" s="196">
        <v>0</v>
      </c>
      <c r="AC24" s="196">
        <v>160</v>
      </c>
      <c r="AD24" s="196">
        <v>0</v>
      </c>
      <c r="AE24" s="196">
        <v>190</v>
      </c>
      <c r="AF24" s="196">
        <v>0</v>
      </c>
      <c r="AG24" s="196">
        <v>190</v>
      </c>
      <c r="AH24" s="196">
        <v>0</v>
      </c>
      <c r="AI24" s="196">
        <v>180</v>
      </c>
      <c r="AJ24" s="196">
        <v>0</v>
      </c>
      <c r="AK24" s="196">
        <v>180</v>
      </c>
      <c r="AL24" s="196">
        <v>0</v>
      </c>
      <c r="AM24" s="196">
        <v>150</v>
      </c>
      <c r="AN24" s="196">
        <v>0</v>
      </c>
      <c r="AO24" s="196">
        <v>150</v>
      </c>
      <c r="AP24" s="196">
        <v>0</v>
      </c>
      <c r="AQ24" s="196">
        <v>80</v>
      </c>
      <c r="AR24" s="196">
        <v>0</v>
      </c>
      <c r="AS24" s="196">
        <v>80</v>
      </c>
      <c r="AT24" s="196"/>
      <c r="AU24" s="196">
        <v>210</v>
      </c>
      <c r="AV24" s="196">
        <v>0</v>
      </c>
      <c r="AW24" s="196">
        <v>210</v>
      </c>
      <c r="AX24" s="196">
        <v>0</v>
      </c>
      <c r="AY24" s="196">
        <v>1920</v>
      </c>
      <c r="AZ24" s="196">
        <v>0</v>
      </c>
      <c r="BA24" s="196">
        <v>1920</v>
      </c>
      <c r="BB24" s="536"/>
      <c r="BC24" s="747"/>
      <c r="BE24">
        <f>SUM(BE6:BE20)</f>
        <v>183.4288189202139</v>
      </c>
      <c r="BF24">
        <f>SUM(BF6:BF20)</f>
        <v>47.414397284793353</v>
      </c>
      <c r="BG24">
        <f>SUM(BG6:BG20) - BG11</f>
        <v>149.0363595710993</v>
      </c>
      <c r="BH24" s="543">
        <f t="shared" ref="BH24:BH27" si="1">SUM(BE24:BG24)</f>
        <v>379.87957577610655</v>
      </c>
      <c r="BI24" s="748" t="s">
        <v>1462</v>
      </c>
      <c r="BJ24" s="536" t="s">
        <v>461</v>
      </c>
      <c r="BK24" s="536" t="s">
        <v>1456</v>
      </c>
      <c r="BL24" s="536">
        <v>3987.09999909624</v>
      </c>
      <c r="BM24" s="536">
        <v>3.9870999990962401</v>
      </c>
      <c r="BN24" s="536"/>
      <c r="BO24" s="536"/>
      <c r="BP24" s="536"/>
      <c r="BQ24" s="536"/>
      <c r="BR24" s="536"/>
      <c r="BS24" s="536"/>
    </row>
    <row r="25" spans="1:71" ht="14.4" x14ac:dyDescent="0.3">
      <c r="A25" s="446" t="s">
        <v>1458</v>
      </c>
      <c r="B25" s="196">
        <v>1965.4545454545455</v>
      </c>
      <c r="C25" s="196">
        <v>0</v>
      </c>
      <c r="D25" s="196">
        <v>0</v>
      </c>
      <c r="E25" s="196">
        <v>1965</v>
      </c>
      <c r="F25" s="196">
        <v>840</v>
      </c>
      <c r="G25" s="196">
        <v>0</v>
      </c>
      <c r="H25" s="196">
        <v>0</v>
      </c>
      <c r="I25" s="196">
        <v>840</v>
      </c>
      <c r="J25" s="196">
        <v>1290</v>
      </c>
      <c r="K25" s="196">
        <v>0</v>
      </c>
      <c r="L25" s="196">
        <v>0</v>
      </c>
      <c r="M25" s="196">
        <v>1290</v>
      </c>
      <c r="N25" s="196">
        <v>2180</v>
      </c>
      <c r="O25" s="196">
        <v>0</v>
      </c>
      <c r="P25" s="196">
        <v>0</v>
      </c>
      <c r="Q25" s="196">
        <v>2180</v>
      </c>
      <c r="R25" s="196">
        <v>2500</v>
      </c>
      <c r="S25" s="196">
        <v>0</v>
      </c>
      <c r="T25" s="196">
        <v>0</v>
      </c>
      <c r="U25" s="196">
        <v>2500</v>
      </c>
      <c r="V25" s="196">
        <v>3120</v>
      </c>
      <c r="W25" s="196">
        <v>0</v>
      </c>
      <c r="X25" s="196">
        <v>0</v>
      </c>
      <c r="Y25" s="196">
        <v>3120</v>
      </c>
      <c r="Z25" s="196">
        <v>2470</v>
      </c>
      <c r="AA25" s="196">
        <v>0</v>
      </c>
      <c r="AB25" s="196">
        <v>0</v>
      </c>
      <c r="AC25" s="196">
        <v>2470</v>
      </c>
      <c r="AD25" s="196">
        <v>1950</v>
      </c>
      <c r="AE25" s="196">
        <v>0</v>
      </c>
      <c r="AF25" s="196">
        <v>0</v>
      </c>
      <c r="AG25" s="196">
        <v>1950</v>
      </c>
      <c r="AH25" s="196">
        <v>1650</v>
      </c>
      <c r="AI25" s="196">
        <v>0</v>
      </c>
      <c r="AJ25" s="196">
        <v>0</v>
      </c>
      <c r="AK25" s="196">
        <v>1650</v>
      </c>
      <c r="AL25" s="196">
        <v>2330</v>
      </c>
      <c r="AM25" s="196">
        <v>0</v>
      </c>
      <c r="AN25" s="196">
        <v>0</v>
      </c>
      <c r="AO25" s="196">
        <v>2330</v>
      </c>
      <c r="AP25" s="196">
        <v>1540</v>
      </c>
      <c r="AQ25" s="196">
        <v>0</v>
      </c>
      <c r="AR25" s="196">
        <v>0</v>
      </c>
      <c r="AS25" s="196">
        <v>1540</v>
      </c>
      <c r="AT25" s="196">
        <v>1750</v>
      </c>
      <c r="AU25" s="196">
        <v>0</v>
      </c>
      <c r="AV25" s="196">
        <v>0</v>
      </c>
      <c r="AW25" s="196">
        <v>1750</v>
      </c>
      <c r="AX25" s="196">
        <v>23585.454545454544</v>
      </c>
      <c r="AY25" s="196">
        <v>0</v>
      </c>
      <c r="AZ25" s="196">
        <v>0</v>
      </c>
      <c r="BA25" s="196">
        <v>23585</v>
      </c>
      <c r="BB25" s="536"/>
      <c r="BC25" s="747"/>
      <c r="BE25" s="72">
        <f>BE24/SUM(BE24:BG24)</f>
        <v>0.48286043951023888</v>
      </c>
      <c r="BF25" s="72">
        <f>BF24/SUM(BE24:BG24)</f>
        <v>0.12481428407390466</v>
      </c>
      <c r="BG25" s="72">
        <f>BG24/SUM(BE24:BG24)</f>
        <v>0.39232527641585646</v>
      </c>
      <c r="BH25" s="543"/>
      <c r="BI25" s="748"/>
      <c r="BJ25" s="536" t="s">
        <v>461</v>
      </c>
      <c r="BK25" s="536" t="s">
        <v>1457</v>
      </c>
      <c r="BL25" s="536">
        <v>2616.9554013758839</v>
      </c>
      <c r="BM25" s="536">
        <v>2.616955401375884</v>
      </c>
      <c r="BN25" s="536"/>
      <c r="BO25" s="536"/>
      <c r="BP25" s="536"/>
      <c r="BQ25" s="536"/>
      <c r="BR25" s="536"/>
      <c r="BS25" s="536"/>
    </row>
    <row r="26" spans="1:71" ht="14.4" x14ac:dyDescent="0.3">
      <c r="A26" s="197" t="s">
        <v>518</v>
      </c>
      <c r="B26" s="196">
        <v>0</v>
      </c>
      <c r="C26" s="196">
        <v>0</v>
      </c>
      <c r="D26" s="196">
        <v>37664</v>
      </c>
      <c r="E26" s="196">
        <v>37664</v>
      </c>
      <c r="F26" s="196">
        <v>0</v>
      </c>
      <c r="G26" s="196">
        <v>0</v>
      </c>
      <c r="H26" s="196">
        <v>34420</v>
      </c>
      <c r="I26" s="196">
        <v>34420</v>
      </c>
      <c r="J26" s="196">
        <v>0</v>
      </c>
      <c r="K26" s="196">
        <v>0</v>
      </c>
      <c r="L26" s="196">
        <v>28600</v>
      </c>
      <c r="M26" s="196">
        <v>28600</v>
      </c>
      <c r="N26" s="196">
        <v>0</v>
      </c>
      <c r="O26" s="196">
        <v>0</v>
      </c>
      <c r="P26" s="196">
        <v>36340</v>
      </c>
      <c r="Q26" s="196">
        <v>36340</v>
      </c>
      <c r="R26" s="196">
        <v>0</v>
      </c>
      <c r="S26" s="196">
        <v>0</v>
      </c>
      <c r="T26" s="196">
        <v>49340</v>
      </c>
      <c r="U26" s="196">
        <v>49340</v>
      </c>
      <c r="V26" s="196">
        <v>0</v>
      </c>
      <c r="W26" s="196">
        <v>0</v>
      </c>
      <c r="X26" s="196">
        <v>25540</v>
      </c>
      <c r="Y26" s="196">
        <v>25540</v>
      </c>
      <c r="Z26" s="196">
        <v>0</v>
      </c>
      <c r="AA26" s="196">
        <v>0</v>
      </c>
      <c r="AB26" s="196">
        <v>38540</v>
      </c>
      <c r="AC26" s="196">
        <v>38540</v>
      </c>
      <c r="AD26" s="196">
        <v>0</v>
      </c>
      <c r="AE26" s="196">
        <v>0</v>
      </c>
      <c r="AF26" s="196">
        <v>44000</v>
      </c>
      <c r="AG26" s="196">
        <v>44000</v>
      </c>
      <c r="AH26" s="196">
        <v>0</v>
      </c>
      <c r="AI26" s="196">
        <v>0</v>
      </c>
      <c r="AJ26" s="196">
        <v>27120</v>
      </c>
      <c r="AK26" s="196">
        <v>27120</v>
      </c>
      <c r="AL26" s="196">
        <v>0</v>
      </c>
      <c r="AM26" s="196">
        <v>0</v>
      </c>
      <c r="AN26" s="196">
        <v>56240</v>
      </c>
      <c r="AO26" s="196">
        <v>56240</v>
      </c>
      <c r="AP26" s="196">
        <v>0</v>
      </c>
      <c r="AQ26" s="196">
        <v>0</v>
      </c>
      <c r="AR26" s="196">
        <v>19800</v>
      </c>
      <c r="AS26" s="196">
        <v>19800</v>
      </c>
      <c r="AT26" s="196">
        <v>0</v>
      </c>
      <c r="AU26" s="196">
        <v>0</v>
      </c>
      <c r="AV26" s="196">
        <v>17400</v>
      </c>
      <c r="AW26" s="196">
        <v>17400</v>
      </c>
      <c r="AX26" s="196">
        <v>0</v>
      </c>
      <c r="AY26" s="196">
        <v>0</v>
      </c>
      <c r="AZ26" s="196">
        <v>415004</v>
      </c>
      <c r="BA26" s="196">
        <v>415004</v>
      </c>
      <c r="BB26" s="536"/>
      <c r="BC26" s="747"/>
      <c r="BH26" s="543">
        <f>BH21-(BH11+BH18)</f>
        <v>376.48957577610656</v>
      </c>
      <c r="BI26" s="748" t="s">
        <v>1463</v>
      </c>
      <c r="BJ26" s="536" t="s">
        <v>461</v>
      </c>
      <c r="BK26" s="536" t="s">
        <v>1458</v>
      </c>
      <c r="BL26" s="536">
        <v>5022.7959901094391</v>
      </c>
      <c r="BM26" s="536">
        <v>5.0227959901094392</v>
      </c>
      <c r="BN26" s="536"/>
      <c r="BO26" s="536"/>
      <c r="BP26" s="536"/>
      <c r="BQ26" s="536"/>
      <c r="BR26" s="536"/>
      <c r="BS26" s="536"/>
    </row>
    <row r="27" spans="1:71" ht="14.4" x14ac:dyDescent="0.3">
      <c r="A27" s="446" t="s">
        <v>1456</v>
      </c>
      <c r="B27" s="196">
        <v>0</v>
      </c>
      <c r="C27" s="196">
        <v>0</v>
      </c>
      <c r="D27" s="196">
        <v>37664</v>
      </c>
      <c r="E27" s="196">
        <v>37664</v>
      </c>
      <c r="F27" s="196">
        <v>0</v>
      </c>
      <c r="G27" s="196">
        <v>0</v>
      </c>
      <c r="H27" s="196">
        <v>34420</v>
      </c>
      <c r="I27" s="196">
        <v>34420</v>
      </c>
      <c r="J27" s="196">
        <v>0</v>
      </c>
      <c r="K27" s="196">
        <v>0</v>
      </c>
      <c r="L27" s="196">
        <v>28600</v>
      </c>
      <c r="M27" s="196">
        <v>28600</v>
      </c>
      <c r="N27" s="196">
        <v>0</v>
      </c>
      <c r="O27" s="196">
        <v>0</v>
      </c>
      <c r="P27" s="196">
        <v>36340</v>
      </c>
      <c r="Q27" s="196">
        <v>36340</v>
      </c>
      <c r="R27" s="196">
        <v>0</v>
      </c>
      <c r="S27" s="196">
        <v>0</v>
      </c>
      <c r="T27" s="196">
        <v>49340</v>
      </c>
      <c r="U27" s="196">
        <v>49340</v>
      </c>
      <c r="V27" s="196">
        <v>0</v>
      </c>
      <c r="W27" s="196">
        <v>0</v>
      </c>
      <c r="X27" s="196">
        <v>25540</v>
      </c>
      <c r="Y27" s="196">
        <v>25540</v>
      </c>
      <c r="Z27" s="196">
        <v>0</v>
      </c>
      <c r="AA27" s="196">
        <v>0</v>
      </c>
      <c r="AB27" s="196">
        <v>38540</v>
      </c>
      <c r="AC27" s="196">
        <v>38540</v>
      </c>
      <c r="AD27" s="196">
        <v>0</v>
      </c>
      <c r="AE27" s="196">
        <v>0</v>
      </c>
      <c r="AF27" s="196">
        <v>44000</v>
      </c>
      <c r="AG27" s="196">
        <v>44000</v>
      </c>
      <c r="AH27" s="196">
        <v>0</v>
      </c>
      <c r="AI27" s="196">
        <v>0</v>
      </c>
      <c r="AJ27" s="196">
        <v>27120</v>
      </c>
      <c r="AK27" s="196">
        <v>27120</v>
      </c>
      <c r="AL27" s="196">
        <v>0</v>
      </c>
      <c r="AM27" s="196">
        <v>0</v>
      </c>
      <c r="AN27" s="196">
        <v>56240</v>
      </c>
      <c r="AO27" s="196">
        <v>56240</v>
      </c>
      <c r="AP27" s="196">
        <v>0</v>
      </c>
      <c r="AQ27" s="196">
        <v>0</v>
      </c>
      <c r="AR27" s="196">
        <v>19800</v>
      </c>
      <c r="AS27" s="196">
        <v>19800</v>
      </c>
      <c r="AT27" s="196">
        <v>0</v>
      </c>
      <c r="AU27" s="196">
        <v>0</v>
      </c>
      <c r="AV27" s="196">
        <v>17400</v>
      </c>
      <c r="AW27" s="196">
        <v>17400</v>
      </c>
      <c r="AX27" s="196">
        <v>0</v>
      </c>
      <c r="AY27" s="196">
        <v>0</v>
      </c>
      <c r="AZ27" s="196">
        <v>415004</v>
      </c>
      <c r="BA27" s="196">
        <v>415004</v>
      </c>
      <c r="BB27" s="536"/>
      <c r="BC27" s="751"/>
      <c r="BD27" s="536"/>
      <c r="BE27" s="753">
        <f>SUMIF(BD6:BD20,"Managed ",BE6:BE20)</f>
        <v>44.056914374759337</v>
      </c>
      <c r="BF27" s="753">
        <f>SUMIF(BD6:BD20,"Managed ",BF6:BF20)</f>
        <v>17.775597284793356</v>
      </c>
      <c r="BG27" s="753">
        <f>SUMIF(BD6:BD20,"Managed ",BG6:BG20)</f>
        <v>63.820723207462876</v>
      </c>
      <c r="BH27" s="543">
        <f t="shared" si="1"/>
        <v>125.65323486701557</v>
      </c>
      <c r="BI27" s="754" t="s">
        <v>1464</v>
      </c>
      <c r="BJ27" s="536" t="s">
        <v>462</v>
      </c>
      <c r="BK27" s="536" t="s">
        <v>1456</v>
      </c>
      <c r="BL27" s="536">
        <v>11760.000251233538</v>
      </c>
      <c r="BM27" s="536">
        <v>11.760000251233537</v>
      </c>
      <c r="BN27" s="536"/>
      <c r="BO27" s="536"/>
      <c r="BP27" s="536"/>
      <c r="BQ27" s="536"/>
      <c r="BR27" s="536"/>
      <c r="BS27" s="536"/>
    </row>
    <row r="28" spans="1:71" ht="14.4" x14ac:dyDescent="0.3">
      <c r="A28" s="197" t="s">
        <v>968</v>
      </c>
      <c r="B28" s="196">
        <v>210.66298342541441</v>
      </c>
      <c r="C28" s="196">
        <v>0</v>
      </c>
      <c r="D28" s="196">
        <v>138.7292817679558</v>
      </c>
      <c r="E28" s="196">
        <v>349.39226519337024</v>
      </c>
      <c r="F28" s="196">
        <v>190.27624309392269</v>
      </c>
      <c r="G28" s="196">
        <v>0</v>
      </c>
      <c r="H28" s="196">
        <v>125.3038674033149</v>
      </c>
      <c r="I28" s="196">
        <v>315.58011049723757</v>
      </c>
      <c r="J28" s="196">
        <v>210.66298342541441</v>
      </c>
      <c r="K28" s="196">
        <v>0</v>
      </c>
      <c r="L28" s="196">
        <v>138.7292817679558</v>
      </c>
      <c r="M28" s="196">
        <v>349.39226519337024</v>
      </c>
      <c r="N28" s="196">
        <v>203.86740331491711</v>
      </c>
      <c r="O28" s="196">
        <v>0</v>
      </c>
      <c r="P28" s="196">
        <v>134.25414364640881</v>
      </c>
      <c r="Q28" s="196">
        <v>338.12154696132592</v>
      </c>
      <c r="R28" s="196">
        <v>210.66298342541441</v>
      </c>
      <c r="S28" s="196">
        <v>0</v>
      </c>
      <c r="T28" s="196">
        <v>138.7292817679558</v>
      </c>
      <c r="U28" s="196">
        <v>349.39226519337024</v>
      </c>
      <c r="V28" s="196">
        <v>203.86740331491711</v>
      </c>
      <c r="W28" s="196">
        <v>0</v>
      </c>
      <c r="X28" s="196">
        <v>134.25414364640881</v>
      </c>
      <c r="Y28" s="196">
        <v>338.12154696132592</v>
      </c>
      <c r="Z28" s="196">
        <v>240.92391304347831</v>
      </c>
      <c r="AA28" s="196">
        <v>0</v>
      </c>
      <c r="AB28" s="196">
        <v>124.67391304347829</v>
      </c>
      <c r="AC28" s="196">
        <v>365.59782608695662</v>
      </c>
      <c r="AD28" s="196">
        <v>240.92391304347831</v>
      </c>
      <c r="AE28" s="196">
        <v>0</v>
      </c>
      <c r="AF28" s="196">
        <v>124.67391304347829</v>
      </c>
      <c r="AG28" s="196">
        <v>365.59782608695662</v>
      </c>
      <c r="AH28" s="196">
        <v>233.1521739130435</v>
      </c>
      <c r="AI28" s="196">
        <v>0</v>
      </c>
      <c r="AJ28" s="196">
        <v>120.6521739130435</v>
      </c>
      <c r="AK28" s="196">
        <v>353.804347826087</v>
      </c>
      <c r="AL28" s="196">
        <v>240.92391304347831</v>
      </c>
      <c r="AM28" s="196">
        <v>0</v>
      </c>
      <c r="AN28" s="196">
        <v>124.67391304347829</v>
      </c>
      <c r="AO28" s="196">
        <v>365.59782608695662</v>
      </c>
      <c r="AP28" s="196">
        <v>233.1521739130435</v>
      </c>
      <c r="AQ28" s="196">
        <v>0</v>
      </c>
      <c r="AR28" s="196">
        <v>120.6521739130435</v>
      </c>
      <c r="AS28" s="196">
        <v>353.804347826087</v>
      </c>
      <c r="AT28" s="196">
        <v>240.92391304347831</v>
      </c>
      <c r="AU28" s="196">
        <v>0</v>
      </c>
      <c r="AV28" s="196">
        <v>124.67391304347829</v>
      </c>
      <c r="AW28" s="196">
        <v>365.59782608695662</v>
      </c>
      <c r="AX28" s="196">
        <v>2660.0000000000005</v>
      </c>
      <c r="AY28" s="196">
        <v>0</v>
      </c>
      <c r="AZ28" s="196">
        <v>1550</v>
      </c>
      <c r="BA28" s="196">
        <v>4210</v>
      </c>
      <c r="BB28" s="536"/>
      <c r="BC28" s="751"/>
      <c r="BD28" s="536"/>
      <c r="BE28" s="752">
        <v>0.35062300163928717</v>
      </c>
      <c r="BF28" s="752">
        <v>0.14146549671885539</v>
      </c>
      <c r="BG28" s="752">
        <v>0.50791150164185705</v>
      </c>
      <c r="BI28" s="754"/>
      <c r="BJ28" s="536" t="s">
        <v>462</v>
      </c>
      <c r="BK28" s="536" t="s">
        <v>1457</v>
      </c>
      <c r="BL28" s="536">
        <v>939.82589314691484</v>
      </c>
      <c r="BM28" s="536">
        <v>0.93982589314691478</v>
      </c>
      <c r="BN28" s="536"/>
      <c r="BO28" s="536"/>
      <c r="BP28" s="536"/>
      <c r="BQ28" s="536"/>
      <c r="BR28" s="536"/>
      <c r="BS28" s="536"/>
    </row>
    <row r="29" spans="1:71" ht="14.4" x14ac:dyDescent="0.3">
      <c r="A29" s="446" t="s">
        <v>1456</v>
      </c>
      <c r="B29" s="196">
        <v>0</v>
      </c>
      <c r="C29" s="196">
        <v>0</v>
      </c>
      <c r="D29" s="196">
        <v>138.7292817679558</v>
      </c>
      <c r="E29" s="196">
        <v>138.7292817679558</v>
      </c>
      <c r="F29" s="196">
        <v>0</v>
      </c>
      <c r="G29" s="196">
        <v>0</v>
      </c>
      <c r="H29" s="196">
        <v>125.3038674033149</v>
      </c>
      <c r="I29" s="196">
        <v>125.3038674033149</v>
      </c>
      <c r="J29" s="196">
        <v>0</v>
      </c>
      <c r="K29" s="196">
        <v>0</v>
      </c>
      <c r="L29" s="196">
        <v>138.7292817679558</v>
      </c>
      <c r="M29" s="196">
        <v>138.7292817679558</v>
      </c>
      <c r="N29" s="196">
        <v>0</v>
      </c>
      <c r="O29" s="196">
        <v>0</v>
      </c>
      <c r="P29" s="196">
        <v>134.25414364640881</v>
      </c>
      <c r="Q29" s="196">
        <v>134.25414364640881</v>
      </c>
      <c r="R29" s="196">
        <v>0</v>
      </c>
      <c r="S29" s="196">
        <v>0</v>
      </c>
      <c r="T29" s="196">
        <v>138.7292817679558</v>
      </c>
      <c r="U29" s="196">
        <v>138.7292817679558</v>
      </c>
      <c r="V29" s="196">
        <v>0</v>
      </c>
      <c r="W29" s="196">
        <v>0</v>
      </c>
      <c r="X29" s="196">
        <v>134.25414364640881</v>
      </c>
      <c r="Y29" s="196">
        <v>134.25414364640881</v>
      </c>
      <c r="Z29" s="196">
        <v>0</v>
      </c>
      <c r="AA29" s="196">
        <v>0</v>
      </c>
      <c r="AB29" s="196">
        <v>124.67391304347829</v>
      </c>
      <c r="AC29" s="196">
        <v>124.67391304347829</v>
      </c>
      <c r="AD29" s="196">
        <v>0</v>
      </c>
      <c r="AE29" s="196">
        <v>0</v>
      </c>
      <c r="AF29" s="196">
        <v>124.67391304347829</v>
      </c>
      <c r="AG29" s="196">
        <v>124.67391304347829</v>
      </c>
      <c r="AH29" s="196">
        <v>0</v>
      </c>
      <c r="AI29" s="196">
        <v>0</v>
      </c>
      <c r="AJ29" s="196">
        <v>120.6521739130435</v>
      </c>
      <c r="AK29" s="196">
        <v>120.6521739130435</v>
      </c>
      <c r="AL29" s="196">
        <v>0</v>
      </c>
      <c r="AM29" s="196">
        <v>0</v>
      </c>
      <c r="AN29" s="196">
        <v>124.67391304347829</v>
      </c>
      <c r="AO29" s="196">
        <v>124.67391304347829</v>
      </c>
      <c r="AP29" s="196">
        <v>0</v>
      </c>
      <c r="AQ29" s="196">
        <v>0</v>
      </c>
      <c r="AR29" s="196">
        <v>120.6521739130435</v>
      </c>
      <c r="AS29" s="196">
        <v>120.6521739130435</v>
      </c>
      <c r="AT29" s="196">
        <v>0</v>
      </c>
      <c r="AU29" s="196">
        <v>0</v>
      </c>
      <c r="AV29" s="196">
        <v>124.67391304347829</v>
      </c>
      <c r="AW29" s="196">
        <v>124.67391304347829</v>
      </c>
      <c r="AX29" s="196">
        <v>0</v>
      </c>
      <c r="AY29" s="196">
        <v>0</v>
      </c>
      <c r="AZ29" s="196">
        <v>1550</v>
      </c>
      <c r="BA29" s="196">
        <v>1550</v>
      </c>
      <c r="BB29" s="536"/>
      <c r="BC29" s="751"/>
      <c r="BD29" s="536" t="s">
        <v>1449</v>
      </c>
      <c r="BE29" s="536" t="s">
        <v>1450</v>
      </c>
      <c r="BF29" s="536" t="s">
        <v>1451</v>
      </c>
      <c r="BG29" s="536" t="s">
        <v>1452</v>
      </c>
      <c r="BH29" s="536"/>
      <c r="BI29" s="754"/>
      <c r="BJ29" s="536" t="s">
        <v>462</v>
      </c>
      <c r="BK29" s="536" t="s">
        <v>1458</v>
      </c>
      <c r="BL29" s="536">
        <v>1700.268712593238</v>
      </c>
      <c r="BM29" s="536">
        <v>1.7002687125932381</v>
      </c>
      <c r="BN29" s="536"/>
      <c r="BO29" s="536"/>
      <c r="BP29" s="536"/>
      <c r="BQ29" s="536"/>
      <c r="BR29" s="536"/>
      <c r="BS29" s="536"/>
    </row>
    <row r="30" spans="1:71" ht="14.4" x14ac:dyDescent="0.3">
      <c r="A30" s="446" t="s">
        <v>1458</v>
      </c>
      <c r="B30" s="196">
        <v>210.66298342541441</v>
      </c>
      <c r="C30" s="196">
        <v>0</v>
      </c>
      <c r="D30" s="196">
        <v>0</v>
      </c>
      <c r="E30" s="196">
        <v>210.66298342541441</v>
      </c>
      <c r="F30" s="196">
        <v>190.27624309392269</v>
      </c>
      <c r="G30" s="196">
        <v>0</v>
      </c>
      <c r="H30" s="196">
        <v>0</v>
      </c>
      <c r="I30" s="196">
        <v>190.27624309392269</v>
      </c>
      <c r="J30" s="196">
        <v>210.66298342541441</v>
      </c>
      <c r="K30" s="196">
        <v>0</v>
      </c>
      <c r="L30" s="196">
        <v>0</v>
      </c>
      <c r="M30" s="196">
        <v>210.66298342541441</v>
      </c>
      <c r="N30" s="196">
        <v>203.86740331491711</v>
      </c>
      <c r="O30" s="196">
        <v>0</v>
      </c>
      <c r="P30" s="196">
        <v>0</v>
      </c>
      <c r="Q30" s="196">
        <v>203.86740331491711</v>
      </c>
      <c r="R30" s="196">
        <v>210.66298342541441</v>
      </c>
      <c r="S30" s="196">
        <v>0</v>
      </c>
      <c r="T30" s="196">
        <v>0</v>
      </c>
      <c r="U30" s="196">
        <v>210.66298342541441</v>
      </c>
      <c r="V30" s="196">
        <v>203.86740331491711</v>
      </c>
      <c r="W30" s="196">
        <v>0</v>
      </c>
      <c r="X30" s="196">
        <v>0</v>
      </c>
      <c r="Y30" s="196">
        <v>203.86740331491711</v>
      </c>
      <c r="Z30" s="196">
        <v>240.92391304347831</v>
      </c>
      <c r="AA30" s="196">
        <v>0</v>
      </c>
      <c r="AB30" s="196">
        <v>0</v>
      </c>
      <c r="AC30" s="196">
        <v>240.92391304347831</v>
      </c>
      <c r="AD30" s="196">
        <v>240.92391304347831</v>
      </c>
      <c r="AE30" s="196">
        <v>0</v>
      </c>
      <c r="AF30" s="196">
        <v>0</v>
      </c>
      <c r="AG30" s="196">
        <v>240.92391304347831</v>
      </c>
      <c r="AH30" s="196">
        <v>233.1521739130435</v>
      </c>
      <c r="AI30" s="196">
        <v>0</v>
      </c>
      <c r="AJ30" s="196">
        <v>0</v>
      </c>
      <c r="AK30" s="196">
        <v>233.1521739130435</v>
      </c>
      <c r="AL30" s="196">
        <v>240.92391304347831</v>
      </c>
      <c r="AM30" s="196">
        <v>0</v>
      </c>
      <c r="AN30" s="196">
        <v>0</v>
      </c>
      <c r="AO30" s="196">
        <v>240.92391304347831</v>
      </c>
      <c r="AP30" s="196">
        <v>233.1521739130435</v>
      </c>
      <c r="AQ30" s="196">
        <v>0</v>
      </c>
      <c r="AR30" s="196">
        <v>0</v>
      </c>
      <c r="AS30" s="196">
        <v>233.1521739130435</v>
      </c>
      <c r="AT30" s="196">
        <v>240.92391304347831</v>
      </c>
      <c r="AU30" s="196">
        <v>0</v>
      </c>
      <c r="AV30" s="196">
        <v>0</v>
      </c>
      <c r="AW30" s="196">
        <v>240.92391304347831</v>
      </c>
      <c r="AX30" s="196">
        <v>2660.0000000000005</v>
      </c>
      <c r="AY30" s="196">
        <v>0</v>
      </c>
      <c r="AZ30" s="196">
        <v>0</v>
      </c>
      <c r="BA30" s="196">
        <v>2660.0000000000005</v>
      </c>
      <c r="BB30" s="536"/>
      <c r="BC30" s="751" t="s">
        <v>497</v>
      </c>
      <c r="BD30" s="536" t="s">
        <v>1455</v>
      </c>
      <c r="BE30" s="536">
        <v>12.677297595888325</v>
      </c>
      <c r="BF30" s="536">
        <v>2.6209999732673102</v>
      </c>
      <c r="BG30" s="536">
        <v>16.61117811687286</v>
      </c>
      <c r="BH30" s="536"/>
      <c r="BI30" s="754"/>
      <c r="BJ30" s="536" t="s">
        <v>500</v>
      </c>
      <c r="BK30" s="536" t="s">
        <v>1456</v>
      </c>
      <c r="BL30" s="536">
        <v>4514.3506170716091</v>
      </c>
      <c r="BM30" s="536">
        <v>4.5143506170716092</v>
      </c>
      <c r="BN30" s="536"/>
      <c r="BO30" s="536"/>
      <c r="BP30" s="536"/>
      <c r="BQ30" s="536"/>
      <c r="BR30" s="536"/>
      <c r="BS30" s="536"/>
    </row>
    <row r="31" spans="1:71" ht="14.4" x14ac:dyDescent="0.3">
      <c r="A31" s="197" t="s">
        <v>461</v>
      </c>
      <c r="B31" s="196">
        <v>568.99999827146496</v>
      </c>
      <c r="C31" s="196">
        <v>268.49999744445</v>
      </c>
      <c r="D31" s="196">
        <v>410.831201355904</v>
      </c>
      <c r="E31" s="196">
        <v>1248.3311970718191</v>
      </c>
      <c r="F31" s="196">
        <v>468.99999678134901</v>
      </c>
      <c r="G31" s="196">
        <v>277.99999900162197</v>
      </c>
      <c r="H31" s="196">
        <v>407.70769305527199</v>
      </c>
      <c r="I31" s="196">
        <v>1154.707688838243</v>
      </c>
      <c r="J31" s="196">
        <v>894.99999582767396</v>
      </c>
      <c r="K31" s="196">
        <v>248.50000068545299</v>
      </c>
      <c r="L31" s="196">
        <v>425.28379894792999</v>
      </c>
      <c r="M31" s="196">
        <v>1568.7837954610568</v>
      </c>
      <c r="N31" s="196">
        <v>300.999999046325</v>
      </c>
      <c r="O31" s="196">
        <v>256.33810088038399</v>
      </c>
      <c r="P31" s="196">
        <v>311.00000441074297</v>
      </c>
      <c r="Q31" s="196">
        <v>868.33810433745202</v>
      </c>
      <c r="R31" s="196">
        <v>405.99999576806999</v>
      </c>
      <c r="S31" s="196">
        <v>402.32220198959101</v>
      </c>
      <c r="T31" s="196">
        <v>306.88880011439301</v>
      </c>
      <c r="U31" s="196">
        <v>1115.2109978720541</v>
      </c>
      <c r="V31" s="196">
        <v>322.00000435113901</v>
      </c>
      <c r="W31" s="196">
        <v>173.000000417232</v>
      </c>
      <c r="X31" s="196">
        <v>215.752899646759</v>
      </c>
      <c r="Y31" s="196">
        <v>710.75290441512993</v>
      </c>
      <c r="Z31" s="196">
        <v>311.11110001802399</v>
      </c>
      <c r="AA31" s="196">
        <v>150.090901181101</v>
      </c>
      <c r="AB31" s="196">
        <v>200.50000026821999</v>
      </c>
      <c r="AC31" s="196">
        <v>661.70200146734499</v>
      </c>
      <c r="AD31" s="196">
        <v>365.99998921155901</v>
      </c>
      <c r="AE31" s="196">
        <v>192.699000239372</v>
      </c>
      <c r="AF31" s="196">
        <v>327.789798378944</v>
      </c>
      <c r="AG31" s="196">
        <v>886.48878782987504</v>
      </c>
      <c r="AH31" s="196">
        <v>332.00000226497599</v>
      </c>
      <c r="AI31" s="196">
        <v>146.49999886751101</v>
      </c>
      <c r="AJ31" s="196">
        <v>279.00000289082499</v>
      </c>
      <c r="AK31" s="196">
        <v>757.50000402331193</v>
      </c>
      <c r="AL31" s="196">
        <v>430.56000024080203</v>
      </c>
      <c r="AM31" s="196">
        <v>185.782298445701</v>
      </c>
      <c r="AN31" s="196">
        <v>525.56250244378998</v>
      </c>
      <c r="AO31" s="196">
        <v>1141.904801130293</v>
      </c>
      <c r="AP31" s="196">
        <v>329.12350445985697</v>
      </c>
      <c r="AQ31" s="196">
        <v>182.350000366568</v>
      </c>
      <c r="AR31" s="196">
        <v>328.48300039768202</v>
      </c>
      <c r="AS31" s="196">
        <v>839.95650522410699</v>
      </c>
      <c r="AT31" s="196">
        <v>292.001403868198</v>
      </c>
      <c r="AU31" s="196">
        <v>132.87290185689901</v>
      </c>
      <c r="AV31" s="196">
        <v>248.30029718577799</v>
      </c>
      <c r="AW31" s="196">
        <v>673.17460291087491</v>
      </c>
      <c r="AX31" s="196">
        <v>5022.7959901094391</v>
      </c>
      <c r="AY31" s="196">
        <v>2616.9554013758839</v>
      </c>
      <c r="AZ31" s="196">
        <v>3987.09999909624</v>
      </c>
      <c r="BA31" s="196">
        <v>11626.851390581563</v>
      </c>
      <c r="BB31" s="536"/>
      <c r="BC31" s="751" t="s">
        <v>1465</v>
      </c>
      <c r="BD31" s="536" t="s">
        <v>1466</v>
      </c>
      <c r="BE31" s="536">
        <v>0.64654217739030451</v>
      </c>
      <c r="BF31" s="536">
        <v>0.13367099863663282</v>
      </c>
      <c r="BG31" s="536">
        <v>0.84717008396051585</v>
      </c>
      <c r="BH31" s="755">
        <f>SUM(BE31:BG31)</f>
        <v>1.6273832599874531</v>
      </c>
      <c r="BI31" s="756"/>
      <c r="BJ31" s="536" t="s">
        <v>500</v>
      </c>
      <c r="BK31" s="536" t="s">
        <v>1457</v>
      </c>
      <c r="BL31" s="536">
        <v>3163.6979207396462</v>
      </c>
      <c r="BM31" s="536">
        <v>3.1636979207396463</v>
      </c>
      <c r="BN31" s="536"/>
      <c r="BO31" s="536"/>
      <c r="BP31" s="536"/>
      <c r="BQ31" s="536"/>
      <c r="BR31" s="536"/>
      <c r="BS31" s="536"/>
    </row>
    <row r="32" spans="1:71" ht="14.4" x14ac:dyDescent="0.3">
      <c r="A32" s="446" t="s">
        <v>1456</v>
      </c>
      <c r="B32" s="196">
        <v>0</v>
      </c>
      <c r="C32" s="196">
        <v>0</v>
      </c>
      <c r="D32" s="196">
        <v>410.831201355904</v>
      </c>
      <c r="E32" s="196">
        <v>410.831201355904</v>
      </c>
      <c r="F32" s="196">
        <v>0</v>
      </c>
      <c r="G32" s="196">
        <v>0</v>
      </c>
      <c r="H32" s="196">
        <v>407.70769305527199</v>
      </c>
      <c r="I32" s="196">
        <v>407.70769305527199</v>
      </c>
      <c r="J32" s="196">
        <v>0</v>
      </c>
      <c r="K32" s="196">
        <v>0</v>
      </c>
      <c r="L32" s="196">
        <v>425.28379894792999</v>
      </c>
      <c r="M32" s="196">
        <v>425.28379894792999</v>
      </c>
      <c r="N32" s="196">
        <v>0</v>
      </c>
      <c r="O32" s="196">
        <v>0</v>
      </c>
      <c r="P32" s="196">
        <v>311.00000441074297</v>
      </c>
      <c r="Q32" s="196">
        <v>311.00000441074297</v>
      </c>
      <c r="R32" s="196">
        <v>0</v>
      </c>
      <c r="S32" s="196">
        <v>0</v>
      </c>
      <c r="T32" s="196">
        <v>306.88880011439301</v>
      </c>
      <c r="U32" s="196">
        <v>306.88880011439301</v>
      </c>
      <c r="V32" s="196">
        <v>0</v>
      </c>
      <c r="W32" s="196">
        <v>0</v>
      </c>
      <c r="X32" s="196">
        <v>215.752899646759</v>
      </c>
      <c r="Y32" s="196">
        <v>215.752899646759</v>
      </c>
      <c r="Z32" s="196">
        <v>0</v>
      </c>
      <c r="AA32" s="196">
        <v>0</v>
      </c>
      <c r="AB32" s="196">
        <v>200.50000026821999</v>
      </c>
      <c r="AC32" s="196">
        <v>200.50000026821999</v>
      </c>
      <c r="AD32" s="196">
        <v>0</v>
      </c>
      <c r="AE32" s="196">
        <v>0</v>
      </c>
      <c r="AF32" s="196">
        <v>327.789798378944</v>
      </c>
      <c r="AG32" s="196">
        <v>327.789798378944</v>
      </c>
      <c r="AH32" s="196">
        <v>0</v>
      </c>
      <c r="AI32" s="196">
        <v>0</v>
      </c>
      <c r="AJ32" s="196">
        <v>279.00000289082499</v>
      </c>
      <c r="AK32" s="196">
        <v>279.00000289082499</v>
      </c>
      <c r="AL32" s="196">
        <v>0</v>
      </c>
      <c r="AM32" s="196">
        <v>0</v>
      </c>
      <c r="AN32" s="196">
        <v>525.56250244378998</v>
      </c>
      <c r="AO32" s="196">
        <v>525.56250244378998</v>
      </c>
      <c r="AP32" s="196">
        <v>0</v>
      </c>
      <c r="AQ32" s="196">
        <v>0</v>
      </c>
      <c r="AR32" s="196">
        <v>328.48300039768202</v>
      </c>
      <c r="AS32" s="196">
        <v>328.48300039768202</v>
      </c>
      <c r="AT32" s="196">
        <v>0</v>
      </c>
      <c r="AU32" s="196">
        <v>0</v>
      </c>
      <c r="AV32" s="196">
        <v>248.30029718577799</v>
      </c>
      <c r="AW32" s="196">
        <v>248.30029718577799</v>
      </c>
      <c r="AX32" s="196">
        <v>0</v>
      </c>
      <c r="AY32" s="196">
        <v>0</v>
      </c>
      <c r="AZ32" s="196">
        <v>3987.09999909624</v>
      </c>
      <c r="BA32" s="196">
        <v>3987.09999909624</v>
      </c>
      <c r="BB32" s="536"/>
      <c r="BC32" s="757">
        <v>5.0999999999999997E-2</v>
      </c>
      <c r="BD32" s="758"/>
      <c r="BE32" s="759">
        <v>0.39728943592260452</v>
      </c>
      <c r="BF32" s="759">
        <v>8.2138609830399389E-2</v>
      </c>
      <c r="BG32" s="759">
        <v>0.52057195424699609</v>
      </c>
      <c r="BH32" s="758"/>
      <c r="BI32" s="760"/>
      <c r="BJ32" s="536" t="s">
        <v>500</v>
      </c>
      <c r="BK32" s="536" t="s">
        <v>1458</v>
      </c>
      <c r="BL32" s="536">
        <v>9198.2071320526247</v>
      </c>
      <c r="BM32" s="536">
        <v>9.1982071320526249</v>
      </c>
      <c r="BN32" s="536"/>
      <c r="BO32" s="536"/>
      <c r="BP32" s="536"/>
      <c r="BQ32" s="536"/>
      <c r="BR32" s="536"/>
      <c r="BS32" s="536"/>
    </row>
    <row r="33" spans="1:71" ht="14.4" x14ac:dyDescent="0.3">
      <c r="A33" s="446" t="s">
        <v>1457</v>
      </c>
      <c r="B33" s="196">
        <v>0</v>
      </c>
      <c r="C33" s="196">
        <v>268.49999744445</v>
      </c>
      <c r="D33" s="196">
        <v>0</v>
      </c>
      <c r="E33" s="196">
        <v>268.49999744445</v>
      </c>
      <c r="F33" s="196">
        <v>0</v>
      </c>
      <c r="G33" s="196">
        <v>277.99999900162197</v>
      </c>
      <c r="H33" s="196">
        <v>0</v>
      </c>
      <c r="I33" s="196">
        <v>277.99999900162197</v>
      </c>
      <c r="J33" s="196">
        <v>0</v>
      </c>
      <c r="K33" s="196">
        <v>248.50000068545299</v>
      </c>
      <c r="L33" s="196">
        <v>0</v>
      </c>
      <c r="M33" s="196">
        <v>248.50000068545299</v>
      </c>
      <c r="N33" s="196">
        <v>0</v>
      </c>
      <c r="O33" s="196">
        <v>256.33810088038399</v>
      </c>
      <c r="P33" s="196">
        <v>0</v>
      </c>
      <c r="Q33" s="196">
        <v>256.33810088038399</v>
      </c>
      <c r="R33" s="196">
        <v>0</v>
      </c>
      <c r="S33" s="196">
        <v>402.32220198959101</v>
      </c>
      <c r="T33" s="196">
        <v>0</v>
      </c>
      <c r="U33" s="196">
        <v>402.32220198959101</v>
      </c>
      <c r="V33" s="196">
        <v>0</v>
      </c>
      <c r="W33" s="196">
        <v>173.000000417232</v>
      </c>
      <c r="X33" s="196">
        <v>0</v>
      </c>
      <c r="Y33" s="196">
        <v>173.000000417232</v>
      </c>
      <c r="Z33" s="196">
        <v>0</v>
      </c>
      <c r="AA33" s="196">
        <v>150.090901181101</v>
      </c>
      <c r="AB33" s="196">
        <v>0</v>
      </c>
      <c r="AC33" s="196">
        <v>150.090901181101</v>
      </c>
      <c r="AD33" s="196">
        <v>0</v>
      </c>
      <c r="AE33" s="196">
        <v>192.699000239372</v>
      </c>
      <c r="AF33" s="196">
        <v>0</v>
      </c>
      <c r="AG33" s="196">
        <v>192.699000239372</v>
      </c>
      <c r="AH33" s="196">
        <v>0</v>
      </c>
      <c r="AI33" s="196">
        <v>146.49999886751101</v>
      </c>
      <c r="AJ33" s="196">
        <v>0</v>
      </c>
      <c r="AK33" s="196">
        <v>146.49999886751101</v>
      </c>
      <c r="AL33" s="196">
        <v>0</v>
      </c>
      <c r="AM33" s="196">
        <v>185.782298445701</v>
      </c>
      <c r="AN33" s="196">
        <v>0</v>
      </c>
      <c r="AO33" s="196">
        <v>185.782298445701</v>
      </c>
      <c r="AP33" s="196">
        <v>0</v>
      </c>
      <c r="AQ33" s="196">
        <v>182.350000366568</v>
      </c>
      <c r="AR33" s="196">
        <v>0</v>
      </c>
      <c r="AS33" s="196">
        <v>182.350000366568</v>
      </c>
      <c r="AT33" s="196">
        <v>0</v>
      </c>
      <c r="AU33" s="196">
        <v>132.87290185689901</v>
      </c>
      <c r="AV33" s="196">
        <v>0</v>
      </c>
      <c r="AW33" s="196">
        <v>132.87290185689901</v>
      </c>
      <c r="AX33" s="196">
        <v>0</v>
      </c>
      <c r="AY33" s="196">
        <v>2616.9554013758839</v>
      </c>
      <c r="AZ33" s="196">
        <v>0</v>
      </c>
      <c r="BA33" s="196">
        <v>2616.9554013758839</v>
      </c>
      <c r="BB33" s="536"/>
      <c r="BC33" s="536"/>
      <c r="BD33" s="536"/>
      <c r="BE33" s="536"/>
      <c r="BF33" s="536"/>
      <c r="BG33" s="536"/>
      <c r="BH33" s="536"/>
      <c r="BI33" s="536"/>
      <c r="BJ33" s="105" t="s">
        <v>837</v>
      </c>
      <c r="BK33" s="105" t="s">
        <v>1456</v>
      </c>
      <c r="BL33" s="105">
        <v>49210</v>
      </c>
      <c r="BM33" s="105">
        <v>49.21</v>
      </c>
      <c r="BN33" s="536"/>
      <c r="BO33" s="536"/>
      <c r="BP33" s="536"/>
      <c r="BQ33" s="536"/>
      <c r="BR33" s="536"/>
      <c r="BS33" s="536"/>
    </row>
    <row r="34" spans="1:71" ht="14.4" x14ac:dyDescent="0.3">
      <c r="A34" s="446" t="s">
        <v>1458</v>
      </c>
      <c r="B34" s="196">
        <v>568.99999827146496</v>
      </c>
      <c r="C34" s="196">
        <v>0</v>
      </c>
      <c r="D34" s="196">
        <v>0</v>
      </c>
      <c r="E34" s="196">
        <v>568.99999827146496</v>
      </c>
      <c r="F34" s="196">
        <v>468.99999678134901</v>
      </c>
      <c r="G34" s="196">
        <v>0</v>
      </c>
      <c r="H34" s="196">
        <v>0</v>
      </c>
      <c r="I34" s="196">
        <v>468.99999678134901</v>
      </c>
      <c r="J34" s="196">
        <v>894.99999582767396</v>
      </c>
      <c r="K34" s="196">
        <v>0</v>
      </c>
      <c r="L34" s="196">
        <v>0</v>
      </c>
      <c r="M34" s="196">
        <v>894.99999582767396</v>
      </c>
      <c r="N34" s="196">
        <v>300.999999046325</v>
      </c>
      <c r="O34" s="196">
        <v>0</v>
      </c>
      <c r="P34" s="196">
        <v>0</v>
      </c>
      <c r="Q34" s="196">
        <v>300.999999046325</v>
      </c>
      <c r="R34" s="196">
        <v>405.99999576806999</v>
      </c>
      <c r="S34" s="196">
        <v>0</v>
      </c>
      <c r="T34" s="196">
        <v>0</v>
      </c>
      <c r="U34" s="196">
        <v>405.99999576806999</v>
      </c>
      <c r="V34" s="196">
        <v>322.00000435113901</v>
      </c>
      <c r="W34" s="196">
        <v>0</v>
      </c>
      <c r="X34" s="196">
        <v>0</v>
      </c>
      <c r="Y34" s="196">
        <v>322.00000435113901</v>
      </c>
      <c r="Z34" s="196">
        <v>311.11110001802399</v>
      </c>
      <c r="AA34" s="196">
        <v>0</v>
      </c>
      <c r="AB34" s="196">
        <v>0</v>
      </c>
      <c r="AC34" s="196">
        <v>311.11110001802399</v>
      </c>
      <c r="AD34" s="196">
        <v>365.99998921155901</v>
      </c>
      <c r="AE34" s="196">
        <v>0</v>
      </c>
      <c r="AF34" s="196">
        <v>0</v>
      </c>
      <c r="AG34" s="196">
        <v>365.99998921155901</v>
      </c>
      <c r="AH34" s="196">
        <v>332.00000226497599</v>
      </c>
      <c r="AI34" s="196">
        <v>0</v>
      </c>
      <c r="AJ34" s="196">
        <v>0</v>
      </c>
      <c r="AK34" s="196">
        <v>332.00000226497599</v>
      </c>
      <c r="AL34" s="196">
        <v>430.56000024080203</v>
      </c>
      <c r="AM34" s="196">
        <v>0</v>
      </c>
      <c r="AN34" s="196">
        <v>0</v>
      </c>
      <c r="AO34" s="196">
        <v>430.56000024080203</v>
      </c>
      <c r="AP34" s="196">
        <v>329.12350445985697</v>
      </c>
      <c r="AQ34" s="196">
        <v>0</v>
      </c>
      <c r="AR34" s="196">
        <v>0</v>
      </c>
      <c r="AS34" s="196">
        <v>329.12350445985697</v>
      </c>
      <c r="AT34" s="196">
        <v>292.001403868198</v>
      </c>
      <c r="AU34" s="196">
        <v>0</v>
      </c>
      <c r="AV34" s="196">
        <v>0</v>
      </c>
      <c r="AW34" s="196">
        <v>292.001403868198</v>
      </c>
      <c r="AX34" s="196">
        <v>5022.7959901094391</v>
      </c>
      <c r="AY34" s="196">
        <v>0</v>
      </c>
      <c r="AZ34" s="196">
        <v>0</v>
      </c>
      <c r="BA34" s="196">
        <v>5022.7959901094391</v>
      </c>
      <c r="BB34" s="536"/>
      <c r="BC34" s="536"/>
      <c r="BD34" s="536"/>
      <c r="BE34" s="536"/>
      <c r="BF34" s="536"/>
      <c r="BG34" s="536"/>
      <c r="BH34" s="536"/>
      <c r="BI34" s="536"/>
      <c r="BJ34" s="105" t="s">
        <v>837</v>
      </c>
      <c r="BK34" s="105" t="s">
        <v>1457</v>
      </c>
      <c r="BL34" s="105">
        <v>8661.7999999999993</v>
      </c>
      <c r="BM34" s="105">
        <v>8.6617999999999995</v>
      </c>
      <c r="BN34" s="536"/>
      <c r="BO34" s="536"/>
      <c r="BP34" s="536"/>
      <c r="BQ34" s="536"/>
      <c r="BR34" s="536"/>
      <c r="BS34" s="536"/>
    </row>
    <row r="35" spans="1:71" ht="14.4" x14ac:dyDescent="0.3">
      <c r="A35" s="197" t="s">
        <v>462</v>
      </c>
      <c r="B35" s="196">
        <v>154.00000102818001</v>
      </c>
      <c r="C35" s="196">
        <v>102.50000003725199</v>
      </c>
      <c r="D35" s="196">
        <v>1140.00004157423</v>
      </c>
      <c r="E35" s="196">
        <v>1396.5000426396618</v>
      </c>
      <c r="F35" s="196">
        <v>152.375001460313</v>
      </c>
      <c r="G35" s="196">
        <v>130.74999861419201</v>
      </c>
      <c r="H35" s="196">
        <v>1740.0000020861601</v>
      </c>
      <c r="I35" s="196">
        <v>2023.1250021606652</v>
      </c>
      <c r="J35" s="196">
        <v>142.50000193714999</v>
      </c>
      <c r="K35" s="196">
        <v>108.99999924004</v>
      </c>
      <c r="L35" s="196">
        <v>1919.9999496340699</v>
      </c>
      <c r="M35" s="196">
        <v>2171.4999508112601</v>
      </c>
      <c r="N35" s="196">
        <v>117.00000427663301</v>
      </c>
      <c r="O35" s="196">
        <v>71.499998681247206</v>
      </c>
      <c r="P35" s="196">
        <v>1140.00004157423</v>
      </c>
      <c r="Q35" s="196">
        <v>1328.5000445321102</v>
      </c>
      <c r="R35" s="196">
        <v>187.99999728798801</v>
      </c>
      <c r="S35" s="196">
        <v>98.499998915940495</v>
      </c>
      <c r="T35" s="196">
        <v>1140.00004157423</v>
      </c>
      <c r="U35" s="196">
        <v>1426.5000377781585</v>
      </c>
      <c r="V35" s="196">
        <v>107.00000077486</v>
      </c>
      <c r="W35" s="196">
        <v>22.499999497085799</v>
      </c>
      <c r="X35" s="196">
        <v>780.00002726912498</v>
      </c>
      <c r="Y35" s="196">
        <v>909.50002754107084</v>
      </c>
      <c r="Z35" s="196">
        <v>45.7499993499368</v>
      </c>
      <c r="AA35" s="196">
        <v>111.49999778717699</v>
      </c>
      <c r="AB35" s="196">
        <v>750.00002793967701</v>
      </c>
      <c r="AC35" s="196">
        <v>907.25002507679085</v>
      </c>
      <c r="AD35" s="196">
        <v>149.999999441206</v>
      </c>
      <c r="AE35" s="196">
        <v>70.5499984323978</v>
      </c>
      <c r="AF35" s="196">
        <v>390.00001363456198</v>
      </c>
      <c r="AG35" s="196">
        <v>610.55001150816577</v>
      </c>
      <c r="AH35" s="196">
        <v>186.000004410743</v>
      </c>
      <c r="AI35" s="196">
        <v>50.833300454541998</v>
      </c>
      <c r="AJ35" s="196">
        <v>960.00003442168202</v>
      </c>
      <c r="AK35" s="196">
        <v>1196.833339286967</v>
      </c>
      <c r="AL35" s="196">
        <v>155.750002712011</v>
      </c>
      <c r="AM35" s="196">
        <v>71.444400586187797</v>
      </c>
      <c r="AN35" s="196">
        <v>900.00003576278596</v>
      </c>
      <c r="AO35" s="196">
        <v>1127.1944390609847</v>
      </c>
      <c r="AP35" s="196">
        <v>169.11559924483299</v>
      </c>
      <c r="AQ35" s="196">
        <v>59.748201631009501</v>
      </c>
      <c r="AR35" s="196">
        <v>540.00002145767201</v>
      </c>
      <c r="AS35" s="196">
        <v>768.86382233351446</v>
      </c>
      <c r="AT35" s="196">
        <v>132.778100669384</v>
      </c>
      <c r="AU35" s="196">
        <v>40.999999269843102</v>
      </c>
      <c r="AV35" s="196">
        <v>360.00001430511401</v>
      </c>
      <c r="AW35" s="196">
        <v>533.77811424434117</v>
      </c>
      <c r="AX35" s="196">
        <v>1700.268712593238</v>
      </c>
      <c r="AY35" s="196">
        <v>939.82589314691484</v>
      </c>
      <c r="AZ35" s="196">
        <v>11760.000251233538</v>
      </c>
      <c r="BA35" s="196">
        <v>14400.09485697369</v>
      </c>
      <c r="BB35" s="536"/>
      <c r="BC35" s="536"/>
      <c r="BD35" s="536"/>
      <c r="BE35" s="536"/>
      <c r="BF35" s="536"/>
      <c r="BG35" s="536"/>
      <c r="BH35" s="536"/>
      <c r="BI35" s="536"/>
      <c r="BJ35" s="105" t="s">
        <v>837</v>
      </c>
      <c r="BK35" s="105" t="s">
        <v>1458</v>
      </c>
      <c r="BL35" s="105">
        <v>64265.45</v>
      </c>
      <c r="BM35" s="105">
        <v>64.265450000000001</v>
      </c>
      <c r="BN35" s="536"/>
      <c r="BO35" s="536"/>
      <c r="BP35" s="536"/>
      <c r="BQ35" s="536"/>
      <c r="BR35" s="536"/>
      <c r="BS35" s="536"/>
    </row>
    <row r="36" spans="1:71" ht="14.4" x14ac:dyDescent="0.3">
      <c r="A36" s="446" t="s">
        <v>1456</v>
      </c>
      <c r="B36" s="196">
        <v>0</v>
      </c>
      <c r="C36" s="196">
        <v>0</v>
      </c>
      <c r="D36" s="196">
        <v>1140.00004157423</v>
      </c>
      <c r="E36" s="196">
        <v>1140.00004157423</v>
      </c>
      <c r="F36" s="196">
        <v>0</v>
      </c>
      <c r="G36" s="196">
        <v>0</v>
      </c>
      <c r="H36" s="196">
        <v>1740.0000020861601</v>
      </c>
      <c r="I36" s="196">
        <v>1740.0000020861601</v>
      </c>
      <c r="J36" s="196">
        <v>0</v>
      </c>
      <c r="K36" s="196">
        <v>0</v>
      </c>
      <c r="L36" s="196">
        <v>1919.9999496340699</v>
      </c>
      <c r="M36" s="196">
        <v>1919.9999496340699</v>
      </c>
      <c r="N36" s="196">
        <v>0</v>
      </c>
      <c r="O36" s="196">
        <v>0</v>
      </c>
      <c r="P36" s="196">
        <v>1140.00004157423</v>
      </c>
      <c r="Q36" s="196">
        <v>1140.00004157423</v>
      </c>
      <c r="R36" s="196">
        <v>0</v>
      </c>
      <c r="S36" s="196">
        <v>0</v>
      </c>
      <c r="T36" s="196">
        <v>1140.00004157423</v>
      </c>
      <c r="U36" s="196">
        <v>1140.00004157423</v>
      </c>
      <c r="V36" s="196">
        <v>0</v>
      </c>
      <c r="W36" s="196">
        <v>0</v>
      </c>
      <c r="X36" s="196">
        <v>780.00002726912498</v>
      </c>
      <c r="Y36" s="196">
        <v>780.00002726912498</v>
      </c>
      <c r="Z36" s="196">
        <v>0</v>
      </c>
      <c r="AA36" s="196">
        <v>0</v>
      </c>
      <c r="AB36" s="196">
        <v>750.00002793967701</v>
      </c>
      <c r="AC36" s="196">
        <v>750.00002793967701</v>
      </c>
      <c r="AD36" s="196">
        <v>0</v>
      </c>
      <c r="AE36" s="196">
        <v>0</v>
      </c>
      <c r="AF36" s="196">
        <v>390.00001363456198</v>
      </c>
      <c r="AG36" s="196">
        <v>390.00001363456198</v>
      </c>
      <c r="AH36" s="196">
        <v>0</v>
      </c>
      <c r="AI36" s="196">
        <v>0</v>
      </c>
      <c r="AJ36" s="196">
        <v>960.00003442168202</v>
      </c>
      <c r="AK36" s="196">
        <v>960.00003442168202</v>
      </c>
      <c r="AL36" s="196">
        <v>0</v>
      </c>
      <c r="AM36" s="196">
        <v>0</v>
      </c>
      <c r="AN36" s="196">
        <v>900.00003576278596</v>
      </c>
      <c r="AO36" s="196">
        <v>900.00003576278596</v>
      </c>
      <c r="AP36" s="196">
        <v>0</v>
      </c>
      <c r="AQ36" s="196">
        <v>0</v>
      </c>
      <c r="AR36" s="196">
        <v>540.00002145767201</v>
      </c>
      <c r="AS36" s="196">
        <v>540.00002145767201</v>
      </c>
      <c r="AT36" s="196">
        <v>0</v>
      </c>
      <c r="AU36" s="196">
        <v>0</v>
      </c>
      <c r="AV36" s="196">
        <v>360.00001430511401</v>
      </c>
      <c r="AW36" s="196">
        <v>360.00001430511401</v>
      </c>
      <c r="AX36" s="196">
        <v>0</v>
      </c>
      <c r="AY36" s="196">
        <v>0</v>
      </c>
      <c r="AZ36" s="196">
        <v>11760.000251233538</v>
      </c>
      <c r="BA36" s="196">
        <v>11760.000251233538</v>
      </c>
      <c r="BB36" s="536"/>
      <c r="BC36" s="536"/>
      <c r="BD36" s="536"/>
      <c r="BE36" s="536"/>
      <c r="BF36" s="536"/>
      <c r="BG36" s="536"/>
      <c r="BH36" s="536"/>
      <c r="BI36" s="536"/>
      <c r="BJ36" s="536" t="s">
        <v>516</v>
      </c>
      <c r="BK36" s="536" t="s">
        <v>1456</v>
      </c>
      <c r="BL36" s="536">
        <v>2330</v>
      </c>
      <c r="BM36" s="536">
        <v>2.33</v>
      </c>
      <c r="BN36" s="536"/>
      <c r="BO36" s="536"/>
      <c r="BP36" s="536"/>
      <c r="BQ36" s="536"/>
      <c r="BR36" s="536"/>
      <c r="BS36" s="536"/>
    </row>
    <row r="37" spans="1:71" ht="14.4" x14ac:dyDescent="0.3">
      <c r="A37" s="446" t="s">
        <v>1457</v>
      </c>
      <c r="B37" s="196">
        <v>0</v>
      </c>
      <c r="C37" s="196">
        <v>102.50000003725199</v>
      </c>
      <c r="D37" s="196">
        <v>0</v>
      </c>
      <c r="E37" s="196">
        <v>102.50000003725199</v>
      </c>
      <c r="F37" s="196">
        <v>0</v>
      </c>
      <c r="G37" s="196">
        <v>130.74999861419201</v>
      </c>
      <c r="H37" s="196">
        <v>0</v>
      </c>
      <c r="I37" s="196">
        <v>130.74999861419201</v>
      </c>
      <c r="J37" s="196">
        <v>0</v>
      </c>
      <c r="K37" s="196">
        <v>108.99999924004</v>
      </c>
      <c r="L37" s="196">
        <v>0</v>
      </c>
      <c r="M37" s="196">
        <v>108.99999924004</v>
      </c>
      <c r="N37" s="196">
        <v>0</v>
      </c>
      <c r="O37" s="196">
        <v>71.499998681247206</v>
      </c>
      <c r="P37" s="196">
        <v>0</v>
      </c>
      <c r="Q37" s="196">
        <v>71.499998681247206</v>
      </c>
      <c r="R37" s="196">
        <v>0</v>
      </c>
      <c r="S37" s="196">
        <v>98.499998915940495</v>
      </c>
      <c r="T37" s="196">
        <v>0</v>
      </c>
      <c r="U37" s="196">
        <v>98.499998915940495</v>
      </c>
      <c r="V37" s="196">
        <v>0</v>
      </c>
      <c r="W37" s="196">
        <v>22.499999497085799</v>
      </c>
      <c r="X37" s="196">
        <v>0</v>
      </c>
      <c r="Y37" s="196">
        <v>22.499999497085799</v>
      </c>
      <c r="Z37" s="196">
        <v>0</v>
      </c>
      <c r="AA37" s="196">
        <v>111.49999778717699</v>
      </c>
      <c r="AB37" s="196">
        <v>0</v>
      </c>
      <c r="AC37" s="196">
        <v>111.49999778717699</v>
      </c>
      <c r="AD37" s="196">
        <v>0</v>
      </c>
      <c r="AE37" s="196">
        <v>70.5499984323978</v>
      </c>
      <c r="AF37" s="196">
        <v>0</v>
      </c>
      <c r="AG37" s="196">
        <v>70.5499984323978</v>
      </c>
      <c r="AH37" s="196">
        <v>0</v>
      </c>
      <c r="AI37" s="196">
        <v>50.833300454541998</v>
      </c>
      <c r="AJ37" s="196">
        <v>0</v>
      </c>
      <c r="AK37" s="196">
        <v>50.833300454541998</v>
      </c>
      <c r="AL37" s="196">
        <v>0</v>
      </c>
      <c r="AM37" s="196">
        <v>71.444400586187797</v>
      </c>
      <c r="AN37" s="196">
        <v>0</v>
      </c>
      <c r="AO37" s="196">
        <v>71.444400586187797</v>
      </c>
      <c r="AP37" s="196">
        <v>0</v>
      </c>
      <c r="AQ37" s="196">
        <v>59.748201631009501</v>
      </c>
      <c r="AR37" s="196">
        <v>0</v>
      </c>
      <c r="AS37" s="196">
        <v>59.748201631009501</v>
      </c>
      <c r="AT37" s="196">
        <v>0</v>
      </c>
      <c r="AU37" s="196">
        <v>40.999999269843102</v>
      </c>
      <c r="AV37" s="196">
        <v>0</v>
      </c>
      <c r="AW37" s="196">
        <v>40.999999269843102</v>
      </c>
      <c r="AX37" s="196">
        <v>0</v>
      </c>
      <c r="AY37" s="196">
        <v>939.82589314691484</v>
      </c>
      <c r="AZ37" s="196">
        <v>0</v>
      </c>
      <c r="BA37" s="196">
        <v>939.82589314691484</v>
      </c>
      <c r="BB37" s="536"/>
      <c r="BC37" s="536"/>
      <c r="BD37" s="536"/>
      <c r="BE37" s="536"/>
      <c r="BF37" s="536"/>
      <c r="BG37" s="536"/>
      <c r="BH37" s="536"/>
      <c r="BI37" s="536"/>
      <c r="BJ37" s="536" t="s">
        <v>516</v>
      </c>
      <c r="BK37" s="536" t="s">
        <v>1457</v>
      </c>
      <c r="BL37" s="536">
        <v>380</v>
      </c>
      <c r="BM37" s="536">
        <v>0.38</v>
      </c>
      <c r="BN37" s="536"/>
      <c r="BO37" s="536"/>
      <c r="BP37" s="536"/>
      <c r="BQ37" s="536"/>
      <c r="BR37" s="536"/>
      <c r="BS37" s="536"/>
    </row>
    <row r="38" spans="1:71" ht="14.4" x14ac:dyDescent="0.3">
      <c r="A38" s="446" t="s">
        <v>1458</v>
      </c>
      <c r="B38" s="196">
        <v>154.00000102818001</v>
      </c>
      <c r="C38" s="196">
        <v>0</v>
      </c>
      <c r="D38" s="196">
        <v>0</v>
      </c>
      <c r="E38" s="196">
        <v>154.00000102818001</v>
      </c>
      <c r="F38" s="196">
        <v>152.375001460313</v>
      </c>
      <c r="G38" s="196">
        <v>0</v>
      </c>
      <c r="H38" s="196">
        <v>0</v>
      </c>
      <c r="I38" s="196">
        <v>152.375001460313</v>
      </c>
      <c r="J38" s="196">
        <v>142.50000193714999</v>
      </c>
      <c r="K38" s="196">
        <v>0</v>
      </c>
      <c r="L38" s="196">
        <v>0</v>
      </c>
      <c r="M38" s="196">
        <v>142.50000193714999</v>
      </c>
      <c r="N38" s="196">
        <v>117.00000427663301</v>
      </c>
      <c r="O38" s="196">
        <v>0</v>
      </c>
      <c r="P38" s="196">
        <v>0</v>
      </c>
      <c r="Q38" s="196">
        <v>117.00000427663301</v>
      </c>
      <c r="R38" s="196">
        <v>187.99999728798801</v>
      </c>
      <c r="S38" s="196">
        <v>0</v>
      </c>
      <c r="T38" s="196">
        <v>0</v>
      </c>
      <c r="U38" s="196">
        <v>187.99999728798801</v>
      </c>
      <c r="V38" s="196">
        <v>107.00000077486</v>
      </c>
      <c r="W38" s="196">
        <v>0</v>
      </c>
      <c r="X38" s="196">
        <v>0</v>
      </c>
      <c r="Y38" s="196">
        <v>107.00000077486</v>
      </c>
      <c r="Z38" s="196">
        <v>45.7499993499368</v>
      </c>
      <c r="AA38" s="196">
        <v>0</v>
      </c>
      <c r="AB38" s="196">
        <v>0</v>
      </c>
      <c r="AC38" s="196">
        <v>45.7499993499368</v>
      </c>
      <c r="AD38" s="196">
        <v>149.999999441206</v>
      </c>
      <c r="AE38" s="196">
        <v>0</v>
      </c>
      <c r="AF38" s="196">
        <v>0</v>
      </c>
      <c r="AG38" s="196">
        <v>149.999999441206</v>
      </c>
      <c r="AH38" s="196">
        <v>186.000004410743</v>
      </c>
      <c r="AI38" s="196">
        <v>0</v>
      </c>
      <c r="AJ38" s="196">
        <v>0</v>
      </c>
      <c r="AK38" s="196">
        <v>186.000004410743</v>
      </c>
      <c r="AL38" s="196">
        <v>155.750002712011</v>
      </c>
      <c r="AM38" s="196">
        <v>0</v>
      </c>
      <c r="AN38" s="196">
        <v>0</v>
      </c>
      <c r="AO38" s="196">
        <v>155.750002712011</v>
      </c>
      <c r="AP38" s="196">
        <v>169.11559924483299</v>
      </c>
      <c r="AQ38" s="196">
        <v>0</v>
      </c>
      <c r="AR38" s="196">
        <v>0</v>
      </c>
      <c r="AS38" s="196">
        <v>169.11559924483299</v>
      </c>
      <c r="AT38" s="196">
        <v>132.778100669384</v>
      </c>
      <c r="AU38" s="196">
        <v>0</v>
      </c>
      <c r="AV38" s="196">
        <v>0</v>
      </c>
      <c r="AW38" s="196">
        <v>132.778100669384</v>
      </c>
      <c r="AX38" s="196">
        <v>1700.268712593238</v>
      </c>
      <c r="AY38" s="196">
        <v>0</v>
      </c>
      <c r="AZ38" s="196">
        <v>0</v>
      </c>
      <c r="BA38" s="196">
        <v>1700.268712593238</v>
      </c>
      <c r="BB38" s="536"/>
      <c r="BC38" s="536"/>
      <c r="BD38" s="536"/>
      <c r="BE38" s="536"/>
      <c r="BF38" s="536"/>
      <c r="BG38" s="536"/>
      <c r="BH38" s="536"/>
      <c r="BI38" s="536"/>
      <c r="BJ38" s="536" t="s">
        <v>516</v>
      </c>
      <c r="BK38" s="536" t="s">
        <v>1458</v>
      </c>
      <c r="BL38" s="536">
        <v>10700</v>
      </c>
      <c r="BM38" s="536">
        <v>10.7</v>
      </c>
      <c r="BN38" s="536"/>
      <c r="BO38" s="536"/>
      <c r="BP38" s="536"/>
      <c r="BQ38" s="536"/>
      <c r="BR38" s="536"/>
      <c r="BS38" s="536"/>
    </row>
    <row r="39" spans="1:71" ht="14.4" x14ac:dyDescent="0.3">
      <c r="A39" s="197" t="s">
        <v>500</v>
      </c>
      <c r="B39" s="196">
        <v>742.61039867997101</v>
      </c>
      <c r="C39" s="196">
        <v>233.00000373274</v>
      </c>
      <c r="D39" s="196">
        <v>560.10580621659699</v>
      </c>
      <c r="E39" s="196">
        <v>1535.7162086293079</v>
      </c>
      <c r="F39" s="196">
        <v>635.47090068459499</v>
      </c>
      <c r="G39" s="196">
        <v>264.00000415742397</v>
      </c>
      <c r="H39" s="196">
        <v>379.18419763445797</v>
      </c>
      <c r="I39" s="196">
        <v>1278.6551024764769</v>
      </c>
      <c r="J39" s="196">
        <v>970.00809386372498</v>
      </c>
      <c r="K39" s="196">
        <v>264.00000602006901</v>
      </c>
      <c r="L39" s="196">
        <v>442.91840307414498</v>
      </c>
      <c r="M39" s="196">
        <v>1676.926502957939</v>
      </c>
      <c r="N39" s="196">
        <v>812.75639683008092</v>
      </c>
      <c r="O39" s="196">
        <v>254.12500044330901</v>
      </c>
      <c r="P39" s="196">
        <v>361.07160127721698</v>
      </c>
      <c r="Q39" s="196">
        <v>1427.9529985506069</v>
      </c>
      <c r="R39" s="196">
        <v>779.000006616115</v>
      </c>
      <c r="S39" s="196">
        <v>311.32290046662001</v>
      </c>
      <c r="T39" s="196">
        <v>356.94810003042198</v>
      </c>
      <c r="U39" s="196">
        <v>1447.2710071131569</v>
      </c>
      <c r="V39" s="196">
        <v>1155.8333020657301</v>
      </c>
      <c r="W39" s="196">
        <v>271.99999988079003</v>
      </c>
      <c r="X39" s="196">
        <v>325.85139945149399</v>
      </c>
      <c r="Y39" s="196">
        <v>1753.6847013980141</v>
      </c>
      <c r="Z39" s="196">
        <v>732.00000450015</v>
      </c>
      <c r="AA39" s="196">
        <v>252.00000125914801</v>
      </c>
      <c r="AB39" s="196">
        <v>367.79839918017291</v>
      </c>
      <c r="AC39" s="196">
        <v>1351.7984049394709</v>
      </c>
      <c r="AD39" s="196">
        <v>629.978606477379</v>
      </c>
      <c r="AE39" s="196">
        <v>324.99999506399001</v>
      </c>
      <c r="AF39" s="196">
        <v>364.04969915747603</v>
      </c>
      <c r="AG39" s="196">
        <v>1319.0283006988452</v>
      </c>
      <c r="AH39" s="196">
        <v>594.77830119430996</v>
      </c>
      <c r="AI39" s="196">
        <v>225.75000114738901</v>
      </c>
      <c r="AJ39" s="196">
        <v>310.04340387880802</v>
      </c>
      <c r="AK39" s="196">
        <v>1130.5717062205069</v>
      </c>
      <c r="AL39" s="196">
        <v>847.00001589953899</v>
      </c>
      <c r="AM39" s="196">
        <v>354.00000028312201</v>
      </c>
      <c r="AN39" s="196">
        <v>369.22100000083401</v>
      </c>
      <c r="AO39" s="196">
        <v>1570.2210161834951</v>
      </c>
      <c r="AP39" s="196">
        <v>590.20000509917702</v>
      </c>
      <c r="AQ39" s="196">
        <v>157.99999982118601</v>
      </c>
      <c r="AR39" s="196">
        <v>273.26640300452698</v>
      </c>
      <c r="AS39" s="196">
        <v>1021.4664079248901</v>
      </c>
      <c r="AT39" s="196">
        <v>708.57110014185298</v>
      </c>
      <c r="AU39" s="196">
        <v>250.50000846385899</v>
      </c>
      <c r="AV39" s="196">
        <v>403.892204165458</v>
      </c>
      <c r="AW39" s="196">
        <v>1362.96331277117</v>
      </c>
      <c r="AX39" s="196">
        <v>9198.2071320526247</v>
      </c>
      <c r="AY39" s="196">
        <v>3163.6979207396462</v>
      </c>
      <c r="AZ39" s="196">
        <v>4514.3506170716091</v>
      </c>
      <c r="BA39" s="196">
        <v>16876.25566986388</v>
      </c>
      <c r="BB39" s="536"/>
      <c r="BC39" s="536"/>
      <c r="BD39" s="536"/>
      <c r="BE39" s="536"/>
      <c r="BF39" s="536"/>
      <c r="BG39" s="536"/>
      <c r="BH39" s="536"/>
      <c r="BI39" s="536"/>
      <c r="BJ39" s="536" t="s">
        <v>460</v>
      </c>
      <c r="BK39" s="536" t="s">
        <v>1456</v>
      </c>
      <c r="BL39" s="536">
        <v>1182</v>
      </c>
      <c r="BM39" s="536">
        <v>1.1819999999999999</v>
      </c>
      <c r="BN39" s="536"/>
      <c r="BO39" s="536"/>
      <c r="BP39" s="536"/>
      <c r="BQ39" s="536"/>
      <c r="BR39" s="536"/>
      <c r="BS39" s="536"/>
    </row>
    <row r="40" spans="1:71" ht="14.4" x14ac:dyDescent="0.3">
      <c r="A40" s="446" t="s">
        <v>1456</v>
      </c>
      <c r="B40" s="196">
        <v>0</v>
      </c>
      <c r="C40" s="196">
        <v>0</v>
      </c>
      <c r="D40" s="196">
        <v>560.10580621659699</v>
      </c>
      <c r="E40" s="196">
        <v>560.10580621659699</v>
      </c>
      <c r="F40" s="196">
        <v>0</v>
      </c>
      <c r="G40" s="196">
        <v>0</v>
      </c>
      <c r="H40" s="196">
        <v>379.18419763445797</v>
      </c>
      <c r="I40" s="196">
        <v>379.18419763445797</v>
      </c>
      <c r="J40" s="196">
        <v>0</v>
      </c>
      <c r="K40" s="196">
        <v>0</v>
      </c>
      <c r="L40" s="196">
        <v>442.91840307414498</v>
      </c>
      <c r="M40" s="196">
        <v>442.91840307414498</v>
      </c>
      <c r="N40" s="196">
        <v>0</v>
      </c>
      <c r="O40" s="196">
        <v>0</v>
      </c>
      <c r="P40" s="196">
        <v>361.07160127721698</v>
      </c>
      <c r="Q40" s="196">
        <v>361.07160127721698</v>
      </c>
      <c r="R40" s="196">
        <v>0</v>
      </c>
      <c r="S40" s="196">
        <v>0</v>
      </c>
      <c r="T40" s="196">
        <v>356.94810003042198</v>
      </c>
      <c r="U40" s="196">
        <v>356.94810003042198</v>
      </c>
      <c r="V40" s="196">
        <v>0</v>
      </c>
      <c r="W40" s="196">
        <v>0</v>
      </c>
      <c r="X40" s="196">
        <v>325.85139945149399</v>
      </c>
      <c r="Y40" s="196">
        <v>325.85139945149399</v>
      </c>
      <c r="Z40" s="196">
        <v>0</v>
      </c>
      <c r="AA40" s="196">
        <v>0</v>
      </c>
      <c r="AB40" s="196">
        <v>367.79839918017291</v>
      </c>
      <c r="AC40" s="196">
        <v>367.79839918017291</v>
      </c>
      <c r="AD40" s="196">
        <v>0</v>
      </c>
      <c r="AE40" s="196">
        <v>0</v>
      </c>
      <c r="AF40" s="196">
        <v>364.04969915747603</v>
      </c>
      <c r="AG40" s="196">
        <v>364.04969915747603</v>
      </c>
      <c r="AH40" s="196">
        <v>0</v>
      </c>
      <c r="AI40" s="196">
        <v>0</v>
      </c>
      <c r="AJ40" s="196">
        <v>310.04340387880802</v>
      </c>
      <c r="AK40" s="196">
        <v>310.04340387880802</v>
      </c>
      <c r="AL40" s="196">
        <v>0</v>
      </c>
      <c r="AM40" s="196">
        <v>0</v>
      </c>
      <c r="AN40" s="196">
        <v>369.22100000083401</v>
      </c>
      <c r="AO40" s="196">
        <v>369.22100000083401</v>
      </c>
      <c r="AP40" s="196">
        <v>0</v>
      </c>
      <c r="AQ40" s="196">
        <v>0</v>
      </c>
      <c r="AR40" s="196">
        <v>273.26640300452698</v>
      </c>
      <c r="AS40" s="196">
        <v>273.26640300452698</v>
      </c>
      <c r="AT40" s="196">
        <v>0</v>
      </c>
      <c r="AU40" s="196">
        <v>0</v>
      </c>
      <c r="AV40" s="196">
        <v>403.892204165458</v>
      </c>
      <c r="AW40" s="196">
        <v>403.892204165458</v>
      </c>
      <c r="AX40" s="196">
        <v>0</v>
      </c>
      <c r="AY40" s="196">
        <v>0</v>
      </c>
      <c r="AZ40" s="196">
        <v>4514.3506170716091</v>
      </c>
      <c r="BA40" s="196">
        <v>4514.3506170716091</v>
      </c>
      <c r="BB40" s="536"/>
      <c r="BC40" s="536"/>
      <c r="BD40" s="536"/>
      <c r="BE40" s="536"/>
      <c r="BF40" s="536"/>
      <c r="BG40" s="536"/>
      <c r="BH40" s="536"/>
      <c r="BI40" s="536"/>
      <c r="BJ40" s="536" t="s">
        <v>460</v>
      </c>
      <c r="BK40" s="536" t="s">
        <v>1457</v>
      </c>
      <c r="BL40" s="536">
        <v>724</v>
      </c>
      <c r="BM40" s="536">
        <v>0.72399999999999998</v>
      </c>
      <c r="BN40" s="536"/>
      <c r="BO40" s="536"/>
      <c r="BP40" s="536"/>
      <c r="BQ40" s="536"/>
      <c r="BR40" s="536"/>
      <c r="BS40" s="536"/>
    </row>
    <row r="41" spans="1:71" ht="14.4" x14ac:dyDescent="0.3">
      <c r="A41" s="446" t="s">
        <v>1457</v>
      </c>
      <c r="B41" s="196">
        <v>0</v>
      </c>
      <c r="C41" s="196">
        <v>233.00000373274</v>
      </c>
      <c r="D41" s="196">
        <v>0</v>
      </c>
      <c r="E41" s="196">
        <v>233.00000373274</v>
      </c>
      <c r="F41" s="196">
        <v>0</v>
      </c>
      <c r="G41" s="196">
        <v>264.00000415742397</v>
      </c>
      <c r="H41" s="196">
        <v>0</v>
      </c>
      <c r="I41" s="196">
        <v>264.00000415742397</v>
      </c>
      <c r="J41" s="196">
        <v>0</v>
      </c>
      <c r="K41" s="196">
        <v>264.00000602006901</v>
      </c>
      <c r="L41" s="196">
        <v>0</v>
      </c>
      <c r="M41" s="196">
        <v>264.00000602006901</v>
      </c>
      <c r="N41" s="196">
        <v>0</v>
      </c>
      <c r="O41" s="196">
        <v>254.12500044330901</v>
      </c>
      <c r="P41" s="196">
        <v>0</v>
      </c>
      <c r="Q41" s="196">
        <v>254.12500044330901</v>
      </c>
      <c r="R41" s="196">
        <v>0</v>
      </c>
      <c r="S41" s="196">
        <v>311.32290046662001</v>
      </c>
      <c r="T41" s="196">
        <v>0</v>
      </c>
      <c r="U41" s="196">
        <v>311.32290046662001</v>
      </c>
      <c r="V41" s="196">
        <v>0</v>
      </c>
      <c r="W41" s="196">
        <v>271.99999988079003</v>
      </c>
      <c r="X41" s="196">
        <v>0</v>
      </c>
      <c r="Y41" s="196">
        <v>271.99999988079003</v>
      </c>
      <c r="Z41" s="196">
        <v>0</v>
      </c>
      <c r="AA41" s="196">
        <v>252.00000125914801</v>
      </c>
      <c r="AB41" s="196">
        <v>0</v>
      </c>
      <c r="AC41" s="196">
        <v>252.00000125914801</v>
      </c>
      <c r="AD41" s="196">
        <v>0</v>
      </c>
      <c r="AE41" s="196">
        <v>324.99999506399001</v>
      </c>
      <c r="AF41" s="196">
        <v>0</v>
      </c>
      <c r="AG41" s="196">
        <v>324.99999506399001</v>
      </c>
      <c r="AH41" s="196">
        <v>0</v>
      </c>
      <c r="AI41" s="196">
        <v>225.75000114738901</v>
      </c>
      <c r="AJ41" s="196">
        <v>0</v>
      </c>
      <c r="AK41" s="196">
        <v>225.75000114738901</v>
      </c>
      <c r="AL41" s="196">
        <v>0</v>
      </c>
      <c r="AM41" s="196">
        <v>354.00000028312201</v>
      </c>
      <c r="AN41" s="196">
        <v>0</v>
      </c>
      <c r="AO41" s="196">
        <v>354.00000028312201</v>
      </c>
      <c r="AP41" s="196">
        <v>0</v>
      </c>
      <c r="AQ41" s="196">
        <v>157.99999982118601</v>
      </c>
      <c r="AR41" s="196">
        <v>0</v>
      </c>
      <c r="AS41" s="196">
        <v>157.99999982118601</v>
      </c>
      <c r="AT41" s="196">
        <v>0</v>
      </c>
      <c r="AU41" s="196">
        <v>250.50000846385899</v>
      </c>
      <c r="AV41" s="196">
        <v>0</v>
      </c>
      <c r="AW41" s="196">
        <v>250.50000846385899</v>
      </c>
      <c r="AX41" s="196">
        <v>0</v>
      </c>
      <c r="AY41" s="196">
        <v>3163.6979207396462</v>
      </c>
      <c r="AZ41" s="196">
        <v>0</v>
      </c>
      <c r="BA41" s="196">
        <v>3163.6979207396462</v>
      </c>
      <c r="BB41" s="536"/>
      <c r="BC41" s="536"/>
      <c r="BD41" s="536"/>
      <c r="BE41" s="536"/>
      <c r="BF41" s="536"/>
      <c r="BG41" s="536"/>
      <c r="BH41" s="536"/>
      <c r="BI41" s="536"/>
      <c r="BJ41" s="536" t="s">
        <v>460</v>
      </c>
      <c r="BK41" s="536" t="s">
        <v>1458</v>
      </c>
      <c r="BL41" s="536">
        <v>1484</v>
      </c>
      <c r="BM41" s="536">
        <v>1.484</v>
      </c>
      <c r="BN41" s="536"/>
      <c r="BO41" s="536"/>
      <c r="BP41" s="536"/>
      <c r="BQ41" s="536"/>
      <c r="BR41" s="536"/>
      <c r="BS41" s="536"/>
    </row>
    <row r="42" spans="1:71" ht="14.4" x14ac:dyDescent="0.3">
      <c r="A42" s="446" t="s">
        <v>1458</v>
      </c>
      <c r="B42" s="196">
        <v>742.61039867997101</v>
      </c>
      <c r="C42" s="196">
        <v>0</v>
      </c>
      <c r="D42" s="196">
        <v>0</v>
      </c>
      <c r="E42" s="196">
        <v>742.61039867997101</v>
      </c>
      <c r="F42" s="196">
        <v>635.47090068459499</v>
      </c>
      <c r="G42" s="196">
        <v>0</v>
      </c>
      <c r="H42" s="196">
        <v>0</v>
      </c>
      <c r="I42" s="196">
        <v>635.47090068459499</v>
      </c>
      <c r="J42" s="196">
        <v>970.00809386372498</v>
      </c>
      <c r="K42" s="196">
        <v>0</v>
      </c>
      <c r="L42" s="196">
        <v>0</v>
      </c>
      <c r="M42" s="196">
        <v>970.00809386372498</v>
      </c>
      <c r="N42" s="196">
        <v>812.75639683008092</v>
      </c>
      <c r="O42" s="196">
        <v>0</v>
      </c>
      <c r="P42" s="196">
        <v>0</v>
      </c>
      <c r="Q42" s="196">
        <v>812.75639683008092</v>
      </c>
      <c r="R42" s="196">
        <v>779.000006616115</v>
      </c>
      <c r="S42" s="196">
        <v>0</v>
      </c>
      <c r="T42" s="196">
        <v>0</v>
      </c>
      <c r="U42" s="196">
        <v>779.000006616115</v>
      </c>
      <c r="V42" s="196">
        <v>1155.8333020657301</v>
      </c>
      <c r="W42" s="196">
        <v>0</v>
      </c>
      <c r="X42" s="196">
        <v>0</v>
      </c>
      <c r="Y42" s="196">
        <v>1155.8333020657301</v>
      </c>
      <c r="Z42" s="196">
        <v>732.00000450015</v>
      </c>
      <c r="AA42" s="196">
        <v>0</v>
      </c>
      <c r="AB42" s="196">
        <v>0</v>
      </c>
      <c r="AC42" s="196">
        <v>732.00000450015</v>
      </c>
      <c r="AD42" s="196">
        <v>629.978606477379</v>
      </c>
      <c r="AE42" s="196">
        <v>0</v>
      </c>
      <c r="AF42" s="196">
        <v>0</v>
      </c>
      <c r="AG42" s="196">
        <v>629.978606477379</v>
      </c>
      <c r="AH42" s="196">
        <v>594.77830119430996</v>
      </c>
      <c r="AI42" s="196">
        <v>0</v>
      </c>
      <c r="AJ42" s="196">
        <v>0</v>
      </c>
      <c r="AK42" s="196">
        <v>594.77830119430996</v>
      </c>
      <c r="AL42" s="196">
        <v>847.00001589953899</v>
      </c>
      <c r="AM42" s="196">
        <v>0</v>
      </c>
      <c r="AN42" s="196">
        <v>0</v>
      </c>
      <c r="AO42" s="196">
        <v>847.00001589953899</v>
      </c>
      <c r="AP42" s="196">
        <v>590.20000509917702</v>
      </c>
      <c r="AQ42" s="196">
        <v>0</v>
      </c>
      <c r="AR42" s="196">
        <v>0</v>
      </c>
      <c r="AS42" s="196">
        <v>590.20000509917702</v>
      </c>
      <c r="AT42" s="196">
        <v>708.57110014185298</v>
      </c>
      <c r="AU42" s="196">
        <v>0</v>
      </c>
      <c r="AV42" s="196">
        <v>0</v>
      </c>
      <c r="AW42" s="196">
        <v>708.57110014185298</v>
      </c>
      <c r="AX42" s="196">
        <v>9198.2071320526247</v>
      </c>
      <c r="AY42" s="196">
        <v>0</v>
      </c>
      <c r="AZ42" s="196">
        <v>0</v>
      </c>
      <c r="BA42" s="196">
        <v>9198.2071320526247</v>
      </c>
      <c r="BB42" s="536"/>
      <c r="BC42" s="536"/>
      <c r="BD42" s="536"/>
      <c r="BE42" s="536"/>
      <c r="BF42" s="536"/>
      <c r="BG42" s="536"/>
      <c r="BH42" s="536"/>
      <c r="BI42" s="536"/>
      <c r="BJ42" s="536" t="s">
        <v>515</v>
      </c>
      <c r="BK42" s="536" t="s">
        <v>1456</v>
      </c>
      <c r="BL42" s="536">
        <v>1002</v>
      </c>
      <c r="BM42" s="536">
        <v>1.002</v>
      </c>
      <c r="BN42" s="536"/>
      <c r="BO42" s="536"/>
      <c r="BP42" s="536"/>
      <c r="BQ42" s="536"/>
      <c r="BR42" s="536"/>
      <c r="BS42" s="536"/>
    </row>
    <row r="43" spans="1:71" s="105" customFormat="1" ht="14.4" x14ac:dyDescent="0.3">
      <c r="A43" s="390" t="s">
        <v>837</v>
      </c>
      <c r="B43" s="534">
        <v>5355.454545454545</v>
      </c>
      <c r="C43" s="534">
        <v>721.81818181818187</v>
      </c>
      <c r="D43" s="534">
        <v>4100.909090909091</v>
      </c>
      <c r="E43" s="534">
        <v>10178</v>
      </c>
      <c r="F43" s="534">
        <v>3420</v>
      </c>
      <c r="G43" s="534">
        <v>220</v>
      </c>
      <c r="H43" s="534">
        <v>1630</v>
      </c>
      <c r="I43" s="534">
        <v>5270</v>
      </c>
      <c r="J43" s="534">
        <v>3770</v>
      </c>
      <c r="K43" s="534">
        <v>590</v>
      </c>
      <c r="L43" s="534">
        <v>5290</v>
      </c>
      <c r="M43" s="534">
        <v>9650</v>
      </c>
      <c r="N43" s="534">
        <v>5090</v>
      </c>
      <c r="O43" s="534">
        <v>810</v>
      </c>
      <c r="P43" s="534">
        <v>2250</v>
      </c>
      <c r="Q43" s="534">
        <v>8150</v>
      </c>
      <c r="R43" s="534">
        <v>7190</v>
      </c>
      <c r="S43" s="534">
        <v>740</v>
      </c>
      <c r="T43" s="534">
        <v>4230</v>
      </c>
      <c r="U43" s="534">
        <v>12160</v>
      </c>
      <c r="V43" s="534">
        <v>6520</v>
      </c>
      <c r="W43" s="534">
        <v>790</v>
      </c>
      <c r="X43" s="534">
        <v>4650</v>
      </c>
      <c r="Y43" s="534">
        <v>11960</v>
      </c>
      <c r="Z43" s="534">
        <v>6140</v>
      </c>
      <c r="AA43" s="534">
        <v>940</v>
      </c>
      <c r="AB43" s="534">
        <v>5650</v>
      </c>
      <c r="AC43" s="534">
        <v>12730</v>
      </c>
      <c r="AD43" s="534">
        <v>4720</v>
      </c>
      <c r="AE43" s="534">
        <v>660</v>
      </c>
      <c r="AF43" s="534">
        <v>2550</v>
      </c>
      <c r="AG43" s="534">
        <v>7930</v>
      </c>
      <c r="AH43" s="534">
        <v>4560</v>
      </c>
      <c r="AI43" s="534">
        <v>780</v>
      </c>
      <c r="AJ43" s="534">
        <v>5340</v>
      </c>
      <c r="AK43" s="534">
        <v>10680</v>
      </c>
      <c r="AL43" s="534">
        <v>6610</v>
      </c>
      <c r="AM43" s="534">
        <v>750</v>
      </c>
      <c r="AN43" s="534">
        <v>2820</v>
      </c>
      <c r="AO43" s="534">
        <v>10180</v>
      </c>
      <c r="AP43" s="534">
        <v>0</v>
      </c>
      <c r="AQ43" s="534">
        <v>700</v>
      </c>
      <c r="AR43" s="534">
        <v>4570</v>
      </c>
      <c r="AS43" s="534">
        <v>5270</v>
      </c>
      <c r="AT43" s="534">
        <v>10900</v>
      </c>
      <c r="AU43" s="534">
        <v>960</v>
      </c>
      <c r="AV43" s="534">
        <v>6130</v>
      </c>
      <c r="AW43" s="534">
        <v>17980</v>
      </c>
      <c r="AX43" s="534">
        <v>64275.454545454544</v>
      </c>
      <c r="AY43" s="534">
        <v>8661.818181818182</v>
      </c>
      <c r="AZ43" s="534">
        <v>49210.909090909088</v>
      </c>
      <c r="BA43" s="534">
        <v>122138</v>
      </c>
      <c r="BB43" s="536"/>
      <c r="BC43" s="536"/>
      <c r="BD43" s="536"/>
      <c r="BE43" s="536"/>
      <c r="BF43" s="536"/>
      <c r="BG43" s="536"/>
      <c r="BH43" s="536"/>
      <c r="BI43" s="536"/>
      <c r="BJ43" s="536" t="s">
        <v>515</v>
      </c>
      <c r="BK43" s="536" t="s">
        <v>1457</v>
      </c>
      <c r="BL43" s="536">
        <v>317</v>
      </c>
      <c r="BM43" s="536">
        <v>0.317</v>
      </c>
      <c r="BN43" s="536"/>
      <c r="BO43" s="536"/>
      <c r="BP43" s="536"/>
      <c r="BQ43" s="536"/>
      <c r="BR43" s="536"/>
      <c r="BS43" s="536"/>
    </row>
    <row r="44" spans="1:71" ht="14.4" x14ac:dyDescent="0.3">
      <c r="A44" s="446" t="s">
        <v>1456</v>
      </c>
      <c r="B44" s="196">
        <v>0</v>
      </c>
      <c r="C44" s="196">
        <v>0</v>
      </c>
      <c r="D44" s="196">
        <v>4100.909090909091</v>
      </c>
      <c r="E44" s="196">
        <v>4101</v>
      </c>
      <c r="F44" s="196">
        <v>0</v>
      </c>
      <c r="G44" s="196">
        <v>0</v>
      </c>
      <c r="H44" s="196">
        <v>1630</v>
      </c>
      <c r="I44" s="196">
        <v>1630</v>
      </c>
      <c r="J44" s="196">
        <v>0</v>
      </c>
      <c r="K44" s="196">
        <v>0</v>
      </c>
      <c r="L44" s="196">
        <v>5290</v>
      </c>
      <c r="M44" s="196">
        <v>5290</v>
      </c>
      <c r="N44" s="196">
        <v>0</v>
      </c>
      <c r="O44" s="196">
        <v>0</v>
      </c>
      <c r="P44" s="196">
        <v>2250</v>
      </c>
      <c r="Q44" s="196">
        <v>2250</v>
      </c>
      <c r="R44" s="196">
        <v>0</v>
      </c>
      <c r="S44" s="196">
        <v>0</v>
      </c>
      <c r="T44" s="196">
        <v>4230</v>
      </c>
      <c r="U44" s="196">
        <v>4230</v>
      </c>
      <c r="V44" s="196">
        <v>0</v>
      </c>
      <c r="W44" s="196">
        <v>0</v>
      </c>
      <c r="X44" s="196">
        <v>4650</v>
      </c>
      <c r="Y44" s="196">
        <v>4650</v>
      </c>
      <c r="Z44" s="196">
        <v>0</v>
      </c>
      <c r="AA44" s="196">
        <v>0</v>
      </c>
      <c r="AB44" s="196">
        <v>5650</v>
      </c>
      <c r="AC44" s="196">
        <v>5650</v>
      </c>
      <c r="AD44" s="196">
        <v>0</v>
      </c>
      <c r="AE44" s="196">
        <v>0</v>
      </c>
      <c r="AF44" s="196">
        <v>2550</v>
      </c>
      <c r="AG44" s="196">
        <v>2550</v>
      </c>
      <c r="AH44" s="196">
        <v>0</v>
      </c>
      <c r="AI44" s="196">
        <v>0</v>
      </c>
      <c r="AJ44" s="196">
        <v>5340</v>
      </c>
      <c r="AK44" s="196">
        <v>5340</v>
      </c>
      <c r="AL44" s="196">
        <v>0</v>
      </c>
      <c r="AM44" s="196">
        <v>0</v>
      </c>
      <c r="AN44" s="196">
        <v>2820</v>
      </c>
      <c r="AO44" s="196">
        <v>2820</v>
      </c>
      <c r="AP44" s="196">
        <v>0</v>
      </c>
      <c r="AQ44" s="196">
        <v>0</v>
      </c>
      <c r="AR44" s="196">
        <v>4570</v>
      </c>
      <c r="AS44" s="196">
        <v>4570</v>
      </c>
      <c r="AT44" s="196">
        <v>0</v>
      </c>
      <c r="AU44" s="196">
        <v>0</v>
      </c>
      <c r="AV44" s="196">
        <v>6130</v>
      </c>
      <c r="AW44" s="196">
        <v>6130</v>
      </c>
      <c r="AX44" s="196">
        <v>0</v>
      </c>
      <c r="AY44" s="196">
        <v>0</v>
      </c>
      <c r="AZ44" s="196">
        <v>49210.909090909088</v>
      </c>
      <c r="BA44" s="196">
        <v>49211</v>
      </c>
      <c r="BB44" s="536"/>
      <c r="BC44" s="536"/>
      <c r="BD44" s="536"/>
      <c r="BE44" s="536"/>
      <c r="BF44" s="536"/>
      <c r="BG44" s="536"/>
      <c r="BH44" s="536"/>
      <c r="BI44" s="536"/>
      <c r="BJ44" s="536" t="s">
        <v>515</v>
      </c>
      <c r="BK44" s="536" t="s">
        <v>1458</v>
      </c>
      <c r="BL44" s="536">
        <v>2441</v>
      </c>
      <c r="BM44" s="536">
        <v>2.4409999999999998</v>
      </c>
      <c r="BN44" s="536"/>
      <c r="BO44" s="536"/>
      <c r="BP44" s="536"/>
      <c r="BQ44" s="536"/>
      <c r="BR44" s="536"/>
      <c r="BS44" s="536"/>
    </row>
    <row r="45" spans="1:71" ht="14.4" x14ac:dyDescent="0.3">
      <c r="A45" s="446" t="s">
        <v>1457</v>
      </c>
      <c r="B45" s="196">
        <v>0</v>
      </c>
      <c r="C45" s="196">
        <v>721.81818181818187</v>
      </c>
      <c r="D45" s="196">
        <v>0</v>
      </c>
      <c r="E45" s="196">
        <v>722</v>
      </c>
      <c r="F45" s="196">
        <v>0</v>
      </c>
      <c r="G45" s="196">
        <v>220</v>
      </c>
      <c r="H45" s="196">
        <v>0</v>
      </c>
      <c r="I45" s="196">
        <v>220</v>
      </c>
      <c r="J45" s="196">
        <v>0</v>
      </c>
      <c r="K45" s="196">
        <v>590</v>
      </c>
      <c r="L45" s="196">
        <v>0</v>
      </c>
      <c r="M45" s="196">
        <v>590</v>
      </c>
      <c r="N45" s="196">
        <v>0</v>
      </c>
      <c r="O45" s="196">
        <v>810</v>
      </c>
      <c r="P45" s="196">
        <v>0</v>
      </c>
      <c r="Q45" s="196">
        <v>810</v>
      </c>
      <c r="R45" s="196">
        <v>0</v>
      </c>
      <c r="S45" s="196">
        <v>740</v>
      </c>
      <c r="T45" s="196">
        <v>0</v>
      </c>
      <c r="U45" s="196">
        <v>740</v>
      </c>
      <c r="V45" s="196">
        <v>0</v>
      </c>
      <c r="W45" s="196">
        <v>790</v>
      </c>
      <c r="X45" s="196">
        <v>0</v>
      </c>
      <c r="Y45" s="196">
        <v>790</v>
      </c>
      <c r="Z45" s="196">
        <v>0</v>
      </c>
      <c r="AA45" s="196">
        <v>940</v>
      </c>
      <c r="AB45" s="196">
        <v>0</v>
      </c>
      <c r="AC45" s="196">
        <v>940</v>
      </c>
      <c r="AD45" s="196">
        <v>0</v>
      </c>
      <c r="AE45" s="196">
        <v>660</v>
      </c>
      <c r="AF45" s="196">
        <v>0</v>
      </c>
      <c r="AG45" s="196">
        <v>660</v>
      </c>
      <c r="AH45" s="196">
        <v>0</v>
      </c>
      <c r="AI45" s="196">
        <v>780</v>
      </c>
      <c r="AJ45" s="196">
        <v>0</v>
      </c>
      <c r="AK45" s="196">
        <v>780</v>
      </c>
      <c r="AL45" s="196">
        <v>0</v>
      </c>
      <c r="AM45" s="196">
        <v>750</v>
      </c>
      <c r="AN45" s="196">
        <v>0</v>
      </c>
      <c r="AO45" s="196">
        <v>750</v>
      </c>
      <c r="AP45" s="196">
        <v>0</v>
      </c>
      <c r="AQ45" s="196">
        <v>700</v>
      </c>
      <c r="AR45" s="196">
        <v>0</v>
      </c>
      <c r="AS45" s="196">
        <v>700</v>
      </c>
      <c r="AT45" s="196">
        <v>10</v>
      </c>
      <c r="AU45" s="196">
        <v>960</v>
      </c>
      <c r="AV45" s="196">
        <v>0</v>
      </c>
      <c r="AW45" s="196">
        <v>960</v>
      </c>
      <c r="AX45" s="196">
        <v>10</v>
      </c>
      <c r="AY45" s="196">
        <v>8661.818181818182</v>
      </c>
      <c r="AZ45" s="196">
        <v>0</v>
      </c>
      <c r="BA45" s="196">
        <v>8662</v>
      </c>
      <c r="BJ45" t="s">
        <v>1467</v>
      </c>
      <c r="BK45" t="s">
        <v>1456</v>
      </c>
      <c r="BL45">
        <v>15600</v>
      </c>
      <c r="BM45">
        <v>15.6</v>
      </c>
    </row>
    <row r="46" spans="1:71" ht="14.4" x14ac:dyDescent="0.3">
      <c r="A46" s="446" t="s">
        <v>1458</v>
      </c>
      <c r="B46" s="196">
        <v>5355.454545454545</v>
      </c>
      <c r="C46" s="196">
        <v>0</v>
      </c>
      <c r="D46" s="196">
        <v>0</v>
      </c>
      <c r="E46" s="196">
        <v>5355</v>
      </c>
      <c r="F46" s="196">
        <v>3420</v>
      </c>
      <c r="G46" s="196">
        <v>0</v>
      </c>
      <c r="H46" s="196">
        <v>0</v>
      </c>
      <c r="I46" s="196">
        <v>3420</v>
      </c>
      <c r="J46" s="196">
        <v>3770</v>
      </c>
      <c r="K46" s="196">
        <v>0</v>
      </c>
      <c r="L46" s="196">
        <v>0</v>
      </c>
      <c r="M46" s="196">
        <v>3770</v>
      </c>
      <c r="N46" s="196">
        <v>5090</v>
      </c>
      <c r="O46" s="196">
        <v>0</v>
      </c>
      <c r="P46" s="196">
        <v>0</v>
      </c>
      <c r="Q46" s="196">
        <v>5090</v>
      </c>
      <c r="R46" s="196">
        <v>7190</v>
      </c>
      <c r="S46" s="196">
        <v>0</v>
      </c>
      <c r="T46" s="196">
        <v>0</v>
      </c>
      <c r="U46" s="196">
        <v>7190</v>
      </c>
      <c r="V46" s="196">
        <v>6520</v>
      </c>
      <c r="W46" s="196">
        <v>0</v>
      </c>
      <c r="X46" s="196">
        <v>0</v>
      </c>
      <c r="Y46" s="196">
        <v>6520</v>
      </c>
      <c r="Z46" s="196">
        <v>6140</v>
      </c>
      <c r="AA46" s="196">
        <v>0</v>
      </c>
      <c r="AB46" s="196">
        <v>0</v>
      </c>
      <c r="AC46" s="196">
        <v>6140</v>
      </c>
      <c r="AD46" s="196">
        <v>4720</v>
      </c>
      <c r="AE46" s="196">
        <v>0</v>
      </c>
      <c r="AF46" s="196">
        <v>0</v>
      </c>
      <c r="AG46" s="196">
        <v>4720</v>
      </c>
      <c r="AH46" s="196">
        <v>4560</v>
      </c>
      <c r="AI46" s="196">
        <v>0</v>
      </c>
      <c r="AJ46" s="196">
        <v>0</v>
      </c>
      <c r="AK46" s="196">
        <v>4560</v>
      </c>
      <c r="AL46" s="196">
        <v>6610</v>
      </c>
      <c r="AM46" s="196">
        <v>0</v>
      </c>
      <c r="AN46" s="196">
        <v>0</v>
      </c>
      <c r="AO46" s="196">
        <v>6610</v>
      </c>
      <c r="AP46" s="196"/>
      <c r="AQ46" s="196"/>
      <c r="AR46" s="196"/>
      <c r="AS46" s="196"/>
      <c r="AT46" s="196">
        <v>10890</v>
      </c>
      <c r="AU46" s="196">
        <v>0</v>
      </c>
      <c r="AV46" s="196">
        <v>0</v>
      </c>
      <c r="AW46" s="196">
        <v>10890</v>
      </c>
      <c r="AX46" s="196">
        <v>64265.454545454544</v>
      </c>
      <c r="AY46" s="196">
        <v>0</v>
      </c>
      <c r="AZ46" s="196">
        <v>0</v>
      </c>
      <c r="BA46" s="196">
        <v>64265</v>
      </c>
      <c r="BC46" t="s">
        <v>1468</v>
      </c>
      <c r="BJ46" t="s">
        <v>1467</v>
      </c>
      <c r="BK46" t="s">
        <v>1457</v>
      </c>
      <c r="BL46">
        <v>18360</v>
      </c>
      <c r="BM46">
        <v>18.36</v>
      </c>
    </row>
    <row r="47" spans="1:71" ht="14.4" x14ac:dyDescent="0.3">
      <c r="A47" s="197" t="s">
        <v>516</v>
      </c>
      <c r="B47" s="196">
        <v>1270</v>
      </c>
      <c r="C47" s="196">
        <v>0</v>
      </c>
      <c r="D47" s="196">
        <v>190</v>
      </c>
      <c r="E47" s="196">
        <v>1460</v>
      </c>
      <c r="F47" s="196">
        <v>1930</v>
      </c>
      <c r="G47" s="196">
        <v>0</v>
      </c>
      <c r="H47" s="196">
        <v>180</v>
      </c>
      <c r="I47" s="196">
        <v>2110</v>
      </c>
      <c r="J47" s="196">
        <v>890</v>
      </c>
      <c r="K47" s="196">
        <v>0</v>
      </c>
      <c r="L47" s="196">
        <v>140</v>
      </c>
      <c r="M47" s="196">
        <v>1030</v>
      </c>
      <c r="N47" s="196">
        <v>1090</v>
      </c>
      <c r="O47" s="196">
        <v>0</v>
      </c>
      <c r="P47" s="196">
        <v>310</v>
      </c>
      <c r="Q47" s="196">
        <v>1400</v>
      </c>
      <c r="R47" s="196">
        <v>910</v>
      </c>
      <c r="S47" s="196">
        <v>30</v>
      </c>
      <c r="T47" s="196">
        <v>300</v>
      </c>
      <c r="U47" s="196">
        <v>1240</v>
      </c>
      <c r="V47" s="196">
        <v>800</v>
      </c>
      <c r="W47" s="196">
        <v>60</v>
      </c>
      <c r="X47" s="196">
        <v>160</v>
      </c>
      <c r="Y47" s="196">
        <v>1020</v>
      </c>
      <c r="Z47" s="196">
        <v>1040</v>
      </c>
      <c r="AA47" s="196">
        <v>60</v>
      </c>
      <c r="AB47" s="196">
        <v>200</v>
      </c>
      <c r="AC47" s="196">
        <v>1300</v>
      </c>
      <c r="AD47" s="196">
        <v>850</v>
      </c>
      <c r="AE47" s="196">
        <v>50</v>
      </c>
      <c r="AF47" s="196">
        <v>220</v>
      </c>
      <c r="AG47" s="196">
        <v>1120</v>
      </c>
      <c r="AH47" s="196">
        <v>790</v>
      </c>
      <c r="AI47" s="196">
        <v>30</v>
      </c>
      <c r="AJ47" s="196">
        <v>250</v>
      </c>
      <c r="AK47" s="196">
        <v>1070</v>
      </c>
      <c r="AL47" s="196">
        <v>1130</v>
      </c>
      <c r="AM47" s="196">
        <v>150</v>
      </c>
      <c r="AN47" s="196">
        <v>380</v>
      </c>
      <c r="AO47" s="196">
        <v>1660</v>
      </c>
      <c r="AP47" s="196"/>
      <c r="AQ47" s="196"/>
      <c r="AR47" s="196"/>
      <c r="AS47" s="196"/>
      <c r="AT47" s="196"/>
      <c r="AU47" s="196"/>
      <c r="AV47" s="196"/>
      <c r="AW47" s="196"/>
      <c r="AX47" s="196">
        <v>10700</v>
      </c>
      <c r="AY47" s="196">
        <v>380</v>
      </c>
      <c r="AZ47" s="196">
        <v>2330</v>
      </c>
      <c r="BA47" s="196">
        <v>13410</v>
      </c>
      <c r="BC47" s="611" t="s">
        <v>518</v>
      </c>
      <c r="BD47" s="611"/>
      <c r="BE47" s="612"/>
      <c r="BF47" s="613" t="s">
        <v>1148</v>
      </c>
      <c r="BG47">
        <v>477.92399999999998</v>
      </c>
      <c r="BH47" t="s">
        <v>65</v>
      </c>
      <c r="BJ47" t="s">
        <v>1467</v>
      </c>
      <c r="BK47" t="s">
        <v>1458</v>
      </c>
      <c r="BL47">
        <v>35720</v>
      </c>
      <c r="BM47">
        <v>35.72</v>
      </c>
    </row>
    <row r="48" spans="1:71" ht="14.4" x14ac:dyDescent="0.3">
      <c r="A48" s="446" t="s">
        <v>1456</v>
      </c>
      <c r="B48" s="196"/>
      <c r="C48" s="196"/>
      <c r="D48" s="196">
        <v>190</v>
      </c>
      <c r="E48" s="196">
        <v>190</v>
      </c>
      <c r="F48" s="196"/>
      <c r="G48" s="196"/>
      <c r="H48" s="196">
        <v>180</v>
      </c>
      <c r="I48" s="196">
        <v>180</v>
      </c>
      <c r="J48" s="196"/>
      <c r="K48" s="196"/>
      <c r="L48" s="196">
        <v>140</v>
      </c>
      <c r="M48" s="196">
        <v>140</v>
      </c>
      <c r="N48" s="196"/>
      <c r="O48" s="196"/>
      <c r="P48" s="196">
        <v>310</v>
      </c>
      <c r="Q48" s="196">
        <v>310</v>
      </c>
      <c r="R48" s="196"/>
      <c r="S48" s="196"/>
      <c r="T48" s="196">
        <v>300</v>
      </c>
      <c r="U48" s="196">
        <v>300</v>
      </c>
      <c r="V48" s="196"/>
      <c r="W48" s="196"/>
      <c r="X48" s="196">
        <v>160</v>
      </c>
      <c r="Y48" s="196">
        <v>160</v>
      </c>
      <c r="Z48" s="196"/>
      <c r="AA48" s="196"/>
      <c r="AB48" s="196">
        <v>200</v>
      </c>
      <c r="AC48" s="196">
        <v>200</v>
      </c>
      <c r="AD48" s="196"/>
      <c r="AE48" s="196"/>
      <c r="AF48" s="196">
        <v>220</v>
      </c>
      <c r="AG48" s="196">
        <v>220</v>
      </c>
      <c r="AH48" s="196"/>
      <c r="AI48" s="196"/>
      <c r="AJ48" s="196">
        <v>250</v>
      </c>
      <c r="AK48" s="196">
        <v>250</v>
      </c>
      <c r="AL48" s="196"/>
      <c r="AM48" s="196"/>
      <c r="AN48" s="196">
        <v>380</v>
      </c>
      <c r="AO48" s="196">
        <v>380</v>
      </c>
      <c r="AP48" s="196"/>
      <c r="AQ48" s="196"/>
      <c r="AR48" s="196"/>
      <c r="AS48" s="196"/>
      <c r="AT48" s="196"/>
      <c r="AU48" s="196"/>
      <c r="AV48" s="196"/>
      <c r="AW48" s="196"/>
      <c r="AX48" s="196"/>
      <c r="AY48" s="196"/>
      <c r="AZ48" s="196">
        <v>2330</v>
      </c>
      <c r="BA48" s="196">
        <v>2330</v>
      </c>
    </row>
    <row r="49" spans="1:57" ht="14.4" x14ac:dyDescent="0.3">
      <c r="A49" s="446" t="s">
        <v>1457</v>
      </c>
      <c r="B49" s="196"/>
      <c r="C49" s="196">
        <v>0</v>
      </c>
      <c r="D49" s="196"/>
      <c r="E49" s="196">
        <v>0</v>
      </c>
      <c r="F49" s="196"/>
      <c r="G49" s="196">
        <v>0</v>
      </c>
      <c r="H49" s="196"/>
      <c r="I49" s="196">
        <v>0</v>
      </c>
      <c r="J49" s="196"/>
      <c r="K49" s="196">
        <v>0</v>
      </c>
      <c r="L49" s="196"/>
      <c r="M49" s="196">
        <v>0</v>
      </c>
      <c r="N49" s="196"/>
      <c r="O49" s="196">
        <v>0</v>
      </c>
      <c r="P49" s="196"/>
      <c r="Q49" s="196">
        <v>0</v>
      </c>
      <c r="R49" s="196"/>
      <c r="S49" s="196">
        <v>30</v>
      </c>
      <c r="T49" s="196"/>
      <c r="U49" s="196">
        <v>30</v>
      </c>
      <c r="V49" s="196"/>
      <c r="W49" s="196">
        <v>60</v>
      </c>
      <c r="X49" s="196"/>
      <c r="Y49" s="196">
        <v>60</v>
      </c>
      <c r="Z49" s="196"/>
      <c r="AA49" s="196">
        <v>60</v>
      </c>
      <c r="AB49" s="196"/>
      <c r="AC49" s="196">
        <v>60</v>
      </c>
      <c r="AD49" s="196"/>
      <c r="AE49" s="196">
        <v>50</v>
      </c>
      <c r="AF49" s="196"/>
      <c r="AG49" s="196">
        <v>50</v>
      </c>
      <c r="AH49" s="196"/>
      <c r="AI49" s="196">
        <v>30</v>
      </c>
      <c r="AJ49" s="196"/>
      <c r="AK49" s="196">
        <v>30</v>
      </c>
      <c r="AL49" s="196"/>
      <c r="AM49" s="196">
        <v>150</v>
      </c>
      <c r="AN49" s="196"/>
      <c r="AO49" s="196">
        <v>150</v>
      </c>
      <c r="AP49" s="196"/>
      <c r="AQ49" s="196"/>
      <c r="AR49" s="196"/>
      <c r="AS49" s="196"/>
      <c r="AT49" s="196"/>
      <c r="AU49" s="196"/>
      <c r="AV49" s="196"/>
      <c r="AW49" s="196"/>
      <c r="AX49" s="196"/>
      <c r="AY49" s="196">
        <v>380</v>
      </c>
      <c r="AZ49" s="196"/>
      <c r="BA49" s="196">
        <v>380</v>
      </c>
    </row>
    <row r="50" spans="1:57" ht="14.4" x14ac:dyDescent="0.3">
      <c r="A50" s="446" t="s">
        <v>1458</v>
      </c>
      <c r="B50" s="196">
        <v>1270</v>
      </c>
      <c r="C50" s="196"/>
      <c r="D50" s="196"/>
      <c r="E50" s="196">
        <v>1270</v>
      </c>
      <c r="F50" s="196">
        <v>1930</v>
      </c>
      <c r="G50" s="196"/>
      <c r="H50" s="196"/>
      <c r="I50" s="196">
        <v>1930</v>
      </c>
      <c r="J50" s="196">
        <v>890</v>
      </c>
      <c r="K50" s="196"/>
      <c r="L50" s="196"/>
      <c r="M50" s="196">
        <v>890</v>
      </c>
      <c r="N50" s="196">
        <v>1090</v>
      </c>
      <c r="O50" s="196"/>
      <c r="P50" s="196"/>
      <c r="Q50" s="196">
        <v>1090</v>
      </c>
      <c r="R50" s="196">
        <v>910</v>
      </c>
      <c r="S50" s="196"/>
      <c r="T50" s="196"/>
      <c r="U50" s="196">
        <v>910</v>
      </c>
      <c r="V50" s="196">
        <v>800</v>
      </c>
      <c r="W50" s="196"/>
      <c r="X50" s="196"/>
      <c r="Y50" s="196">
        <v>800</v>
      </c>
      <c r="Z50" s="196">
        <v>1040</v>
      </c>
      <c r="AA50" s="196"/>
      <c r="AB50" s="196"/>
      <c r="AC50" s="196">
        <v>1040</v>
      </c>
      <c r="AD50" s="196">
        <v>850</v>
      </c>
      <c r="AE50" s="196"/>
      <c r="AF50" s="196"/>
      <c r="AG50" s="196">
        <v>850</v>
      </c>
      <c r="AH50" s="196">
        <v>790</v>
      </c>
      <c r="AI50" s="196"/>
      <c r="AJ50" s="196"/>
      <c r="AK50" s="196">
        <v>790</v>
      </c>
      <c r="AL50" s="196">
        <v>1130</v>
      </c>
      <c r="AM50" s="196"/>
      <c r="AN50" s="196"/>
      <c r="AO50" s="196">
        <v>1130</v>
      </c>
      <c r="AP50" s="196"/>
      <c r="AQ50" s="196"/>
      <c r="AR50" s="196"/>
      <c r="AS50" s="196"/>
      <c r="AT50" s="196"/>
      <c r="AU50" s="196"/>
      <c r="AV50" s="196"/>
      <c r="AW50" s="196"/>
      <c r="AX50" s="196">
        <v>10700</v>
      </c>
      <c r="AY50" s="196"/>
      <c r="AZ50" s="196"/>
      <c r="BA50" s="196">
        <v>10700</v>
      </c>
    </row>
    <row r="51" spans="1:57" ht="14.4" x14ac:dyDescent="0.3">
      <c r="A51" s="197" t="s">
        <v>460</v>
      </c>
      <c r="B51" s="196">
        <v>391</v>
      </c>
      <c r="C51" s="196">
        <v>228</v>
      </c>
      <c r="D51" s="196">
        <v>596</v>
      </c>
      <c r="E51" s="196">
        <v>1215</v>
      </c>
      <c r="F51" s="196">
        <v>502</v>
      </c>
      <c r="G51" s="196">
        <v>328</v>
      </c>
      <c r="H51" s="196">
        <v>255</v>
      </c>
      <c r="I51" s="196">
        <v>1085</v>
      </c>
      <c r="J51" s="196">
        <v>591</v>
      </c>
      <c r="K51" s="196">
        <v>168</v>
      </c>
      <c r="L51" s="196">
        <v>331</v>
      </c>
      <c r="M51" s="196">
        <v>1090</v>
      </c>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v>1484</v>
      </c>
      <c r="AY51" s="196">
        <v>724</v>
      </c>
      <c r="AZ51" s="196">
        <v>1182</v>
      </c>
      <c r="BA51" s="196">
        <v>3390</v>
      </c>
      <c r="BC51" s="68" t="s">
        <v>1469</v>
      </c>
      <c r="BD51" s="75">
        <f>E22+E43</f>
        <v>13597</v>
      </c>
      <c r="BE51" s="68" t="s">
        <v>1454</v>
      </c>
    </row>
    <row r="52" spans="1:57" ht="14.4" x14ac:dyDescent="0.3">
      <c r="A52" s="446" t="s">
        <v>1456</v>
      </c>
      <c r="B52" s="196"/>
      <c r="C52" s="196"/>
      <c r="D52" s="196">
        <v>596</v>
      </c>
      <c r="E52" s="196">
        <v>596</v>
      </c>
      <c r="F52" s="196"/>
      <c r="G52" s="196"/>
      <c r="H52" s="196">
        <v>255</v>
      </c>
      <c r="I52" s="196">
        <v>255</v>
      </c>
      <c r="J52" s="196"/>
      <c r="K52" s="196"/>
      <c r="L52" s="196">
        <v>331</v>
      </c>
      <c r="M52" s="196">
        <v>331</v>
      </c>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v>1182</v>
      </c>
      <c r="BA52" s="196">
        <v>1182</v>
      </c>
      <c r="BC52" s="68"/>
      <c r="BD52" s="68">
        <f>BD51/1000</f>
        <v>13.597</v>
      </c>
      <c r="BE52" s="68" t="s">
        <v>65</v>
      </c>
    </row>
    <row r="53" spans="1:57" ht="14.4" x14ac:dyDescent="0.3">
      <c r="A53" s="446" t="s">
        <v>1457</v>
      </c>
      <c r="B53" s="196"/>
      <c r="C53" s="196">
        <v>228</v>
      </c>
      <c r="D53" s="196"/>
      <c r="E53" s="196">
        <v>228</v>
      </c>
      <c r="F53" s="196"/>
      <c r="G53" s="196">
        <v>328</v>
      </c>
      <c r="H53" s="196"/>
      <c r="I53" s="196">
        <v>328</v>
      </c>
      <c r="J53" s="196"/>
      <c r="K53" s="196">
        <v>168</v>
      </c>
      <c r="L53" s="196"/>
      <c r="M53" s="196">
        <v>168</v>
      </c>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v>724</v>
      </c>
      <c r="AZ53" s="196"/>
      <c r="BA53" s="196">
        <v>724</v>
      </c>
      <c r="BC53" s="68"/>
      <c r="BD53" s="807">
        <f>BD52/BH21</f>
        <v>1.7105649700617089E-2</v>
      </c>
      <c r="BE53" s="68"/>
    </row>
    <row r="54" spans="1:57" ht="14.4" x14ac:dyDescent="0.3">
      <c r="A54" s="446" t="s">
        <v>1458</v>
      </c>
      <c r="B54" s="196">
        <v>391</v>
      </c>
      <c r="C54" s="196"/>
      <c r="D54" s="196"/>
      <c r="E54" s="196">
        <v>391</v>
      </c>
      <c r="F54" s="196">
        <v>502</v>
      </c>
      <c r="G54" s="196"/>
      <c r="H54" s="196"/>
      <c r="I54" s="196">
        <v>502</v>
      </c>
      <c r="J54" s="196">
        <v>591</v>
      </c>
      <c r="K54" s="196"/>
      <c r="L54" s="196"/>
      <c r="M54" s="196">
        <v>591</v>
      </c>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v>1484</v>
      </c>
      <c r="AY54" s="196"/>
      <c r="AZ54" s="196"/>
      <c r="BA54" s="196">
        <v>1484</v>
      </c>
    </row>
    <row r="55" spans="1:57" ht="14.4" x14ac:dyDescent="0.3">
      <c r="A55" s="197" t="s">
        <v>515</v>
      </c>
      <c r="B55" s="196">
        <v>186</v>
      </c>
      <c r="C55" s="196">
        <v>14</v>
      </c>
      <c r="D55" s="196">
        <v>54</v>
      </c>
      <c r="E55" s="196">
        <v>254</v>
      </c>
      <c r="F55" s="196">
        <v>189</v>
      </c>
      <c r="G55" s="196">
        <v>16</v>
      </c>
      <c r="H55" s="196">
        <v>29</v>
      </c>
      <c r="I55" s="196">
        <v>234</v>
      </c>
      <c r="J55" s="196">
        <v>198</v>
      </c>
      <c r="K55" s="196">
        <v>15</v>
      </c>
      <c r="L55" s="196">
        <v>59</v>
      </c>
      <c r="M55" s="196">
        <v>272</v>
      </c>
      <c r="N55" s="196">
        <v>192</v>
      </c>
      <c r="O55" s="196">
        <v>15</v>
      </c>
      <c r="P55" s="196">
        <v>68</v>
      </c>
      <c r="Q55" s="196">
        <v>275</v>
      </c>
      <c r="R55" s="196">
        <v>239</v>
      </c>
      <c r="S55" s="196">
        <v>57</v>
      </c>
      <c r="T55" s="196">
        <v>67</v>
      </c>
      <c r="U55" s="196">
        <v>363</v>
      </c>
      <c r="V55" s="196">
        <v>171</v>
      </c>
      <c r="W55" s="196">
        <v>26</v>
      </c>
      <c r="X55" s="196">
        <v>87</v>
      </c>
      <c r="Y55" s="196">
        <v>284</v>
      </c>
      <c r="Z55" s="196">
        <v>376</v>
      </c>
      <c r="AA55" s="196">
        <v>37</v>
      </c>
      <c r="AB55" s="196">
        <v>181</v>
      </c>
      <c r="AC55" s="196">
        <v>594</v>
      </c>
      <c r="AD55" s="196">
        <v>218</v>
      </c>
      <c r="AE55" s="196">
        <v>29</v>
      </c>
      <c r="AF55" s="196">
        <v>75</v>
      </c>
      <c r="AG55" s="196">
        <v>322</v>
      </c>
      <c r="AH55" s="196">
        <v>181</v>
      </c>
      <c r="AI55" s="196">
        <v>14</v>
      </c>
      <c r="AJ55" s="196">
        <v>90</v>
      </c>
      <c r="AK55" s="196">
        <v>285</v>
      </c>
      <c r="AL55" s="196">
        <v>161</v>
      </c>
      <c r="AM55" s="196">
        <v>36</v>
      </c>
      <c r="AN55" s="196">
        <v>101</v>
      </c>
      <c r="AO55" s="196">
        <v>298</v>
      </c>
      <c r="AP55" s="196">
        <v>155</v>
      </c>
      <c r="AQ55" s="196">
        <v>28</v>
      </c>
      <c r="AR55" s="196">
        <v>88</v>
      </c>
      <c r="AS55" s="196">
        <v>271</v>
      </c>
      <c r="AT55" s="196">
        <v>175</v>
      </c>
      <c r="AU55" s="196">
        <v>30</v>
      </c>
      <c r="AV55" s="196">
        <v>103</v>
      </c>
      <c r="AW55" s="196">
        <v>308</v>
      </c>
      <c r="AX55" s="196">
        <v>2441</v>
      </c>
      <c r="AY55" s="196">
        <v>317</v>
      </c>
      <c r="AZ55" s="196">
        <v>1002</v>
      </c>
      <c r="BA55" s="196">
        <v>3760</v>
      </c>
    </row>
    <row r="56" spans="1:57" ht="14.4" x14ac:dyDescent="0.3">
      <c r="A56" s="446" t="s">
        <v>1456</v>
      </c>
      <c r="B56" s="196"/>
      <c r="C56" s="196"/>
      <c r="D56" s="196">
        <v>54</v>
      </c>
      <c r="E56" s="196">
        <v>54</v>
      </c>
      <c r="F56" s="196"/>
      <c r="G56" s="196"/>
      <c r="H56" s="196">
        <v>29</v>
      </c>
      <c r="I56" s="196">
        <v>29</v>
      </c>
      <c r="J56" s="196"/>
      <c r="K56" s="196"/>
      <c r="L56" s="196">
        <v>59</v>
      </c>
      <c r="M56" s="196">
        <v>59</v>
      </c>
      <c r="N56" s="196"/>
      <c r="O56" s="196"/>
      <c r="P56" s="196">
        <v>68</v>
      </c>
      <c r="Q56" s="196">
        <v>68</v>
      </c>
      <c r="R56" s="196"/>
      <c r="S56" s="196"/>
      <c r="T56" s="196">
        <v>67</v>
      </c>
      <c r="U56" s="196">
        <v>67</v>
      </c>
      <c r="V56" s="196"/>
      <c r="W56" s="196"/>
      <c r="X56" s="196">
        <v>87</v>
      </c>
      <c r="Y56" s="196">
        <v>87</v>
      </c>
      <c r="Z56" s="196"/>
      <c r="AA56" s="196"/>
      <c r="AB56" s="196">
        <v>181</v>
      </c>
      <c r="AC56" s="196">
        <v>181</v>
      </c>
      <c r="AD56" s="196"/>
      <c r="AE56" s="196"/>
      <c r="AF56" s="196">
        <v>75</v>
      </c>
      <c r="AG56" s="196">
        <v>75</v>
      </c>
      <c r="AH56" s="196"/>
      <c r="AI56" s="196"/>
      <c r="AJ56" s="196">
        <v>90</v>
      </c>
      <c r="AK56" s="196">
        <v>90</v>
      </c>
      <c r="AL56" s="196"/>
      <c r="AM56" s="196"/>
      <c r="AN56" s="196">
        <v>101</v>
      </c>
      <c r="AO56" s="196">
        <v>101</v>
      </c>
      <c r="AP56" s="196"/>
      <c r="AQ56" s="196"/>
      <c r="AR56" s="196">
        <v>88</v>
      </c>
      <c r="AS56" s="196">
        <v>88</v>
      </c>
      <c r="AT56" s="196"/>
      <c r="AU56" s="196"/>
      <c r="AV56" s="196">
        <v>103</v>
      </c>
      <c r="AW56" s="196">
        <v>103</v>
      </c>
      <c r="AX56" s="196"/>
      <c r="AY56" s="196"/>
      <c r="AZ56" s="196">
        <v>1002</v>
      </c>
      <c r="BA56" s="196">
        <v>1002</v>
      </c>
    </row>
    <row r="57" spans="1:57" ht="14.4" x14ac:dyDescent="0.3">
      <c r="A57" s="446" t="s">
        <v>1457</v>
      </c>
      <c r="B57" s="196"/>
      <c r="C57" s="196">
        <v>14</v>
      </c>
      <c r="D57" s="196"/>
      <c r="E57" s="196">
        <v>14</v>
      </c>
      <c r="F57" s="196"/>
      <c r="G57" s="196">
        <v>16</v>
      </c>
      <c r="H57" s="196"/>
      <c r="I57" s="196">
        <v>16</v>
      </c>
      <c r="J57" s="196"/>
      <c r="K57" s="196">
        <v>15</v>
      </c>
      <c r="L57" s="196"/>
      <c r="M57" s="196">
        <v>15</v>
      </c>
      <c r="N57" s="196"/>
      <c r="O57" s="196">
        <v>15</v>
      </c>
      <c r="P57" s="196"/>
      <c r="Q57" s="196">
        <v>15</v>
      </c>
      <c r="R57" s="196"/>
      <c r="S57" s="196">
        <v>57</v>
      </c>
      <c r="T57" s="196"/>
      <c r="U57" s="196">
        <v>57</v>
      </c>
      <c r="V57" s="196"/>
      <c r="W57" s="196">
        <v>26</v>
      </c>
      <c r="X57" s="196"/>
      <c r="Y57" s="196">
        <v>26</v>
      </c>
      <c r="Z57" s="196"/>
      <c r="AA57" s="196">
        <v>37</v>
      </c>
      <c r="AB57" s="196"/>
      <c r="AC57" s="196">
        <v>37</v>
      </c>
      <c r="AD57" s="196"/>
      <c r="AE57" s="196">
        <v>29</v>
      </c>
      <c r="AF57" s="196"/>
      <c r="AG57" s="196">
        <v>29</v>
      </c>
      <c r="AH57" s="196"/>
      <c r="AI57" s="196">
        <v>14</v>
      </c>
      <c r="AJ57" s="196"/>
      <c r="AK57" s="196">
        <v>14</v>
      </c>
      <c r="AL57" s="196"/>
      <c r="AM57" s="196">
        <v>36</v>
      </c>
      <c r="AN57" s="196"/>
      <c r="AO57" s="196">
        <v>36</v>
      </c>
      <c r="AP57" s="196"/>
      <c r="AQ57" s="196">
        <v>28</v>
      </c>
      <c r="AR57" s="196"/>
      <c r="AS57" s="196">
        <v>28</v>
      </c>
      <c r="AT57" s="196"/>
      <c r="AU57" s="196">
        <v>30</v>
      </c>
      <c r="AV57" s="196"/>
      <c r="AW57" s="196">
        <v>30</v>
      </c>
      <c r="AX57" s="196"/>
      <c r="AY57" s="196">
        <v>317</v>
      </c>
      <c r="AZ57" s="196"/>
      <c r="BA57" s="196">
        <v>317</v>
      </c>
    </row>
    <row r="58" spans="1:57" ht="14.4" x14ac:dyDescent="0.3">
      <c r="A58" s="446" t="s">
        <v>1458</v>
      </c>
      <c r="B58" s="196">
        <v>186</v>
      </c>
      <c r="C58" s="196"/>
      <c r="D58" s="196"/>
      <c r="E58" s="196">
        <v>186</v>
      </c>
      <c r="F58" s="196">
        <v>189</v>
      </c>
      <c r="G58" s="196"/>
      <c r="H58" s="196"/>
      <c r="I58" s="196">
        <v>189</v>
      </c>
      <c r="J58" s="196">
        <v>198</v>
      </c>
      <c r="K58" s="196"/>
      <c r="L58" s="196"/>
      <c r="M58" s="196">
        <v>198</v>
      </c>
      <c r="N58" s="196">
        <v>192</v>
      </c>
      <c r="O58" s="196"/>
      <c r="P58" s="196"/>
      <c r="Q58" s="196">
        <v>192</v>
      </c>
      <c r="R58" s="196">
        <v>239</v>
      </c>
      <c r="S58" s="196"/>
      <c r="T58" s="196"/>
      <c r="U58" s="196">
        <v>239</v>
      </c>
      <c r="V58" s="196">
        <v>171</v>
      </c>
      <c r="W58" s="196"/>
      <c r="X58" s="196"/>
      <c r="Y58" s="196">
        <v>171</v>
      </c>
      <c r="Z58" s="196">
        <v>376</v>
      </c>
      <c r="AA58" s="196"/>
      <c r="AB58" s="196"/>
      <c r="AC58" s="196">
        <v>376</v>
      </c>
      <c r="AD58" s="196">
        <v>218</v>
      </c>
      <c r="AE58" s="196"/>
      <c r="AF58" s="196"/>
      <c r="AG58" s="196">
        <v>218</v>
      </c>
      <c r="AH58" s="196">
        <v>181</v>
      </c>
      <c r="AI58" s="196"/>
      <c r="AJ58" s="196"/>
      <c r="AK58" s="196">
        <v>181</v>
      </c>
      <c r="AL58" s="196">
        <v>161</v>
      </c>
      <c r="AM58" s="196"/>
      <c r="AN58" s="196"/>
      <c r="AO58" s="196">
        <v>161</v>
      </c>
      <c r="AP58" s="196">
        <v>155</v>
      </c>
      <c r="AQ58" s="196"/>
      <c r="AR58" s="196"/>
      <c r="AS58" s="196">
        <v>155</v>
      </c>
      <c r="AT58" s="196">
        <v>175</v>
      </c>
      <c r="AU58" s="196"/>
      <c r="AV58" s="196"/>
      <c r="AW58" s="196">
        <v>175</v>
      </c>
      <c r="AX58" s="196">
        <v>2441</v>
      </c>
      <c r="AY58" s="196"/>
      <c r="AZ58" s="196"/>
      <c r="BA58" s="196">
        <v>2441</v>
      </c>
    </row>
    <row r="59" spans="1:57" ht="14.4" x14ac:dyDescent="0.3">
      <c r="A59" s="197" t="s">
        <v>981</v>
      </c>
      <c r="B59" s="196">
        <v>2620</v>
      </c>
      <c r="C59" s="196">
        <v>1550</v>
      </c>
      <c r="D59" s="196">
        <v>1070</v>
      </c>
      <c r="E59" s="196">
        <v>5240</v>
      </c>
      <c r="F59" s="196">
        <v>2670</v>
      </c>
      <c r="G59" s="196">
        <v>1490</v>
      </c>
      <c r="H59" s="196">
        <v>1190</v>
      </c>
      <c r="I59" s="196">
        <v>5350</v>
      </c>
      <c r="J59" s="196">
        <v>3200</v>
      </c>
      <c r="K59" s="196">
        <v>1560</v>
      </c>
      <c r="L59" s="196">
        <v>1620</v>
      </c>
      <c r="M59" s="196">
        <v>6380</v>
      </c>
      <c r="N59" s="196">
        <v>2630</v>
      </c>
      <c r="O59" s="196">
        <v>1820</v>
      </c>
      <c r="P59" s="196">
        <v>810</v>
      </c>
      <c r="Q59" s="196">
        <v>5260</v>
      </c>
      <c r="R59" s="196">
        <v>2690</v>
      </c>
      <c r="S59" s="196">
        <v>1800</v>
      </c>
      <c r="T59" s="196">
        <v>890</v>
      </c>
      <c r="U59" s="196">
        <v>5380</v>
      </c>
      <c r="V59" s="196">
        <v>2630</v>
      </c>
      <c r="W59" s="196">
        <v>1510</v>
      </c>
      <c r="X59" s="196">
        <v>1120</v>
      </c>
      <c r="Y59" s="196">
        <v>5260</v>
      </c>
      <c r="Z59" s="196">
        <v>3950</v>
      </c>
      <c r="AA59" s="196">
        <v>1500</v>
      </c>
      <c r="AB59" s="196">
        <v>1970</v>
      </c>
      <c r="AC59" s="196">
        <v>7420</v>
      </c>
      <c r="AD59" s="196">
        <v>3500</v>
      </c>
      <c r="AE59" s="196">
        <v>1290</v>
      </c>
      <c r="AF59" s="196">
        <v>1860</v>
      </c>
      <c r="AG59" s="196">
        <v>6650</v>
      </c>
      <c r="AH59" s="196">
        <v>4310</v>
      </c>
      <c r="AI59" s="196">
        <v>1970</v>
      </c>
      <c r="AJ59" s="196">
        <v>2090</v>
      </c>
      <c r="AK59" s="196">
        <v>8370</v>
      </c>
      <c r="AL59" s="196">
        <v>2900</v>
      </c>
      <c r="AM59" s="196">
        <v>1510</v>
      </c>
      <c r="AN59" s="196">
        <v>1090</v>
      </c>
      <c r="AO59" s="196">
        <v>5500</v>
      </c>
      <c r="AP59" s="196">
        <v>2360</v>
      </c>
      <c r="AQ59" s="196">
        <v>1100</v>
      </c>
      <c r="AR59" s="196">
        <v>1060</v>
      </c>
      <c r="AS59" s="196">
        <v>4520</v>
      </c>
      <c r="AT59" s="196">
        <v>2260</v>
      </c>
      <c r="AU59" s="196">
        <v>1260</v>
      </c>
      <c r="AV59" s="196">
        <v>830</v>
      </c>
      <c r="AW59" s="196">
        <v>4350</v>
      </c>
      <c r="AX59" s="196">
        <v>35720</v>
      </c>
      <c r="AY59" s="196">
        <v>18360</v>
      </c>
      <c r="AZ59" s="196">
        <v>15600</v>
      </c>
      <c r="BA59" s="196">
        <v>69680</v>
      </c>
    </row>
    <row r="60" spans="1:57" ht="14.4" x14ac:dyDescent="0.3">
      <c r="A60" s="446" t="s">
        <v>1456</v>
      </c>
      <c r="B60" s="196"/>
      <c r="C60" s="196"/>
      <c r="D60" s="196">
        <v>1070</v>
      </c>
      <c r="E60" s="196">
        <v>1070</v>
      </c>
      <c r="F60" s="196"/>
      <c r="G60" s="196"/>
      <c r="H60" s="196">
        <v>1190</v>
      </c>
      <c r="I60" s="196">
        <v>1190</v>
      </c>
      <c r="J60" s="196"/>
      <c r="K60" s="196"/>
      <c r="L60" s="196">
        <v>1620</v>
      </c>
      <c r="M60" s="196">
        <v>1620</v>
      </c>
      <c r="N60" s="196"/>
      <c r="O60" s="196"/>
      <c r="P60" s="196">
        <v>810</v>
      </c>
      <c r="Q60" s="196">
        <v>810</v>
      </c>
      <c r="R60" s="196"/>
      <c r="S60" s="196"/>
      <c r="T60" s="196">
        <v>890</v>
      </c>
      <c r="U60" s="196">
        <v>890</v>
      </c>
      <c r="V60" s="196"/>
      <c r="W60" s="196"/>
      <c r="X60" s="196">
        <v>1120</v>
      </c>
      <c r="Y60" s="196">
        <v>1120</v>
      </c>
      <c r="Z60" s="196"/>
      <c r="AA60" s="196"/>
      <c r="AB60" s="196">
        <v>1970</v>
      </c>
      <c r="AC60" s="196">
        <v>1970</v>
      </c>
      <c r="AD60" s="196"/>
      <c r="AE60" s="196"/>
      <c r="AF60" s="196">
        <v>1860</v>
      </c>
      <c r="AG60" s="196">
        <v>1860</v>
      </c>
      <c r="AH60" s="196"/>
      <c r="AI60" s="196"/>
      <c r="AJ60" s="196">
        <v>2090</v>
      </c>
      <c r="AK60" s="196">
        <v>2090</v>
      </c>
      <c r="AL60" s="196"/>
      <c r="AM60" s="196"/>
      <c r="AN60" s="196">
        <v>1090</v>
      </c>
      <c r="AO60" s="196">
        <v>1090</v>
      </c>
      <c r="AP60" s="196"/>
      <c r="AQ60" s="196"/>
      <c r="AR60" s="196">
        <v>1060</v>
      </c>
      <c r="AS60" s="196">
        <v>1060</v>
      </c>
      <c r="AT60" s="196"/>
      <c r="AU60" s="196"/>
      <c r="AV60" s="196">
        <v>830</v>
      </c>
      <c r="AW60" s="196">
        <v>830</v>
      </c>
      <c r="AX60" s="196"/>
      <c r="AY60" s="196"/>
      <c r="AZ60" s="196">
        <v>15600</v>
      </c>
      <c r="BA60" s="196">
        <v>15600</v>
      </c>
    </row>
    <row r="61" spans="1:57" ht="14.4" x14ac:dyDescent="0.3">
      <c r="A61" s="446" t="s">
        <v>1457</v>
      </c>
      <c r="B61" s="196"/>
      <c r="C61" s="196">
        <v>1550</v>
      </c>
      <c r="D61" s="196"/>
      <c r="E61" s="196">
        <v>1550</v>
      </c>
      <c r="F61" s="196"/>
      <c r="G61" s="196">
        <v>1490</v>
      </c>
      <c r="H61" s="196"/>
      <c r="I61" s="196">
        <v>1490</v>
      </c>
      <c r="J61" s="196"/>
      <c r="K61" s="196">
        <v>1560</v>
      </c>
      <c r="L61" s="196"/>
      <c r="M61" s="196">
        <v>1560</v>
      </c>
      <c r="N61" s="196"/>
      <c r="O61" s="196">
        <v>1820</v>
      </c>
      <c r="P61" s="196"/>
      <c r="Q61" s="196">
        <v>1820</v>
      </c>
      <c r="R61" s="196"/>
      <c r="S61" s="196">
        <v>1800</v>
      </c>
      <c r="T61" s="196"/>
      <c r="U61" s="196">
        <v>1800</v>
      </c>
      <c r="V61" s="196"/>
      <c r="W61" s="196">
        <v>1510</v>
      </c>
      <c r="X61" s="196"/>
      <c r="Y61" s="196">
        <v>1510</v>
      </c>
      <c r="Z61" s="196"/>
      <c r="AA61" s="196">
        <v>1500</v>
      </c>
      <c r="AB61" s="196"/>
      <c r="AC61" s="196">
        <v>1500</v>
      </c>
      <c r="AD61" s="196"/>
      <c r="AE61" s="196">
        <v>1290</v>
      </c>
      <c r="AF61" s="196"/>
      <c r="AG61" s="196">
        <v>1290</v>
      </c>
      <c r="AH61" s="196"/>
      <c r="AI61" s="196">
        <v>1970</v>
      </c>
      <c r="AJ61" s="196"/>
      <c r="AK61" s="196">
        <v>1970</v>
      </c>
      <c r="AL61" s="196"/>
      <c r="AM61" s="196">
        <v>1510</v>
      </c>
      <c r="AN61" s="196"/>
      <c r="AO61" s="196">
        <v>1510</v>
      </c>
      <c r="AP61" s="196"/>
      <c r="AQ61" s="196">
        <v>1100</v>
      </c>
      <c r="AR61" s="196"/>
      <c r="AS61" s="196">
        <v>1100</v>
      </c>
      <c r="AT61" s="196"/>
      <c r="AU61" s="196">
        <v>1260</v>
      </c>
      <c r="AV61" s="196"/>
      <c r="AW61" s="196">
        <v>1260</v>
      </c>
      <c r="AX61" s="196"/>
      <c r="AY61" s="196">
        <v>18360</v>
      </c>
      <c r="AZ61" s="196"/>
      <c r="BA61" s="196">
        <v>18360</v>
      </c>
    </row>
    <row r="62" spans="1:57" ht="14.4" x14ac:dyDescent="0.3">
      <c r="A62" s="446" t="s">
        <v>1458</v>
      </c>
      <c r="B62" s="196">
        <v>2620</v>
      </c>
      <c r="C62" s="196"/>
      <c r="D62" s="196"/>
      <c r="E62" s="196">
        <v>2620</v>
      </c>
      <c r="F62" s="196">
        <v>2670</v>
      </c>
      <c r="G62" s="196"/>
      <c r="H62" s="196"/>
      <c r="I62" s="196">
        <v>2670</v>
      </c>
      <c r="J62" s="196">
        <v>3200</v>
      </c>
      <c r="K62" s="196"/>
      <c r="L62" s="196"/>
      <c r="M62" s="196">
        <v>3200</v>
      </c>
      <c r="N62" s="196">
        <v>2630</v>
      </c>
      <c r="O62" s="196"/>
      <c r="P62" s="196"/>
      <c r="Q62" s="196">
        <v>2630</v>
      </c>
      <c r="R62" s="196">
        <v>2690</v>
      </c>
      <c r="S62" s="196"/>
      <c r="T62" s="196"/>
      <c r="U62" s="196">
        <v>2690</v>
      </c>
      <c r="V62" s="196">
        <v>2630</v>
      </c>
      <c r="W62" s="196"/>
      <c r="X62" s="196"/>
      <c r="Y62" s="196">
        <v>2630</v>
      </c>
      <c r="Z62" s="196">
        <v>3950</v>
      </c>
      <c r="AA62" s="196"/>
      <c r="AB62" s="196"/>
      <c r="AC62" s="196">
        <v>3950</v>
      </c>
      <c r="AD62" s="196">
        <v>3500</v>
      </c>
      <c r="AE62" s="196"/>
      <c r="AF62" s="196"/>
      <c r="AG62" s="196">
        <v>3500</v>
      </c>
      <c r="AH62" s="196">
        <v>4310</v>
      </c>
      <c r="AI62" s="196"/>
      <c r="AJ62" s="196"/>
      <c r="AK62" s="196">
        <v>4310</v>
      </c>
      <c r="AL62" s="196">
        <v>2900</v>
      </c>
      <c r="AM62" s="196"/>
      <c r="AN62" s="196"/>
      <c r="AO62" s="196">
        <v>2900</v>
      </c>
      <c r="AP62" s="196">
        <v>2360</v>
      </c>
      <c r="AQ62" s="196"/>
      <c r="AR62" s="196"/>
      <c r="AS62" s="196">
        <v>2360</v>
      </c>
      <c r="AT62" s="196">
        <v>2260</v>
      </c>
      <c r="AU62" s="196"/>
      <c r="AV62" s="196"/>
      <c r="AW62" s="196">
        <v>2260</v>
      </c>
      <c r="AX62" s="196">
        <v>35720</v>
      </c>
      <c r="AY62" s="196"/>
      <c r="AZ62" s="196"/>
      <c r="BA62" s="196">
        <v>35720</v>
      </c>
    </row>
    <row r="63" spans="1:57" ht="14.4" x14ac:dyDescent="0.3">
      <c r="A63" s="197" t="s">
        <v>1165</v>
      </c>
      <c r="B63" s="196">
        <v>15250.115776193692</v>
      </c>
      <c r="C63" s="196">
        <v>3863.3181770237293</v>
      </c>
      <c r="D63" s="196">
        <v>50725.942938158529</v>
      </c>
      <c r="E63" s="196">
        <v>69839.104164103221</v>
      </c>
      <c r="F63" s="196">
        <v>13183.498338654197</v>
      </c>
      <c r="G63" s="196">
        <v>3573.2500011436623</v>
      </c>
      <c r="H63" s="196">
        <v>45834.106417192037</v>
      </c>
      <c r="I63" s="196">
        <v>62590.854756989902</v>
      </c>
      <c r="J63" s="196">
        <v>14784.600963870504</v>
      </c>
      <c r="K63" s="196">
        <v>3992.2350123615702</v>
      </c>
      <c r="L63" s="196">
        <v>43979.211385799776</v>
      </c>
      <c r="M63" s="196">
        <v>62756.047362031852</v>
      </c>
      <c r="N63" s="196">
        <v>15365.036591382228</v>
      </c>
      <c r="O63" s="196">
        <v>4291.8647846132853</v>
      </c>
      <c r="P63" s="196">
        <v>46902.346347785024</v>
      </c>
      <c r="Q63" s="196">
        <v>66559.247723780543</v>
      </c>
      <c r="R63" s="196">
        <v>17301.614392519441</v>
      </c>
      <c r="S63" s="196">
        <v>4274.7692188624642</v>
      </c>
      <c r="T63" s="196">
        <v>61184.774362850665</v>
      </c>
      <c r="U63" s="196">
        <v>82761.15797423257</v>
      </c>
      <c r="V63" s="196">
        <v>17215.367839740116</v>
      </c>
      <c r="W63" s="196">
        <v>3991.9477081172099</v>
      </c>
      <c r="X63" s="196">
        <v>37423.67047157143</v>
      </c>
      <c r="Y63" s="196">
        <v>58630.986019428761</v>
      </c>
      <c r="Z63" s="196">
        <v>17805.172010846913</v>
      </c>
      <c r="AA63" s="196">
        <v>4179.8409740295938</v>
      </c>
      <c r="AB63" s="196">
        <v>53654.3890769844</v>
      </c>
      <c r="AC63" s="196">
        <v>75639.402061860907</v>
      </c>
      <c r="AD63" s="196">
        <v>14282.779709853712</v>
      </c>
      <c r="AE63" s="196">
        <v>3516.9649678747851</v>
      </c>
      <c r="AF63" s="196">
        <v>54510.830151090879</v>
      </c>
      <c r="AG63" s="196">
        <v>72310.574828819372</v>
      </c>
      <c r="AH63" s="196">
        <v>15272.224590946869</v>
      </c>
      <c r="AI63" s="196">
        <v>4379.2143243815681</v>
      </c>
      <c r="AJ63" s="196">
        <v>40770.106209769125</v>
      </c>
      <c r="AK63" s="196">
        <v>60421.54512509756</v>
      </c>
      <c r="AL63" s="196">
        <v>16749.950741213299</v>
      </c>
      <c r="AM63" s="196">
        <v>4337.7642418819578</v>
      </c>
      <c r="AN63" s="196">
        <v>67398.019809976191</v>
      </c>
      <c r="AO63" s="196">
        <v>88485.734793071431</v>
      </c>
      <c r="AP63" s="196">
        <v>7498.2116877166063</v>
      </c>
      <c r="AQ63" s="196">
        <v>3333.0606479530079</v>
      </c>
      <c r="AR63" s="196">
        <v>31290.129291222645</v>
      </c>
      <c r="AS63" s="196">
        <v>42121.401626892264</v>
      </c>
      <c r="AT63" s="196">
        <v>18730.250822730846</v>
      </c>
      <c r="AU63" s="196">
        <v>3680.1854083687031</v>
      </c>
      <c r="AV63" s="196">
        <v>30367.742199607666</v>
      </c>
      <c r="AW63" s="196">
        <v>52768.178430707223</v>
      </c>
      <c r="AX63" s="196">
        <v>183438.82346566842</v>
      </c>
      <c r="AY63" s="196">
        <v>47414.415466611536</v>
      </c>
      <c r="AZ63" s="196">
        <v>564041.26866200834</v>
      </c>
      <c r="BA63" s="196">
        <v>794884.23486701562</v>
      </c>
    </row>
    <row r="66" spans="1:20" ht="14.4" x14ac:dyDescent="0.3">
      <c r="A66" s="537" t="s">
        <v>1470</v>
      </c>
      <c r="B66" s="298" t="s">
        <v>1471</v>
      </c>
    </row>
    <row r="67" spans="1:20" ht="14.4" x14ac:dyDescent="0.3">
      <c r="A67" s="298" t="s">
        <v>840</v>
      </c>
      <c r="B67" s="298" t="s">
        <v>1471</v>
      </c>
    </row>
    <row r="68" spans="1:20" ht="14.4" x14ac:dyDescent="0.3">
      <c r="A68" s="298" t="s">
        <v>463</v>
      </c>
      <c r="B68" s="298" t="s">
        <v>1471</v>
      </c>
      <c r="C68" t="s">
        <v>1472</v>
      </c>
    </row>
    <row r="69" spans="1:20" ht="14.4" x14ac:dyDescent="0.3">
      <c r="A69" t="s">
        <v>839</v>
      </c>
      <c r="B69" s="298" t="s">
        <v>1471</v>
      </c>
      <c r="C69" t="s">
        <v>1473</v>
      </c>
    </row>
    <row r="70" spans="1:20" ht="14.4" x14ac:dyDescent="0.3">
      <c r="A70" s="298" t="s">
        <v>514</v>
      </c>
      <c r="B70" s="298" t="s">
        <v>1471</v>
      </c>
    </row>
    <row r="71" spans="1:20" ht="14.4" x14ac:dyDescent="0.3">
      <c r="A71" s="298" t="s">
        <v>517</v>
      </c>
      <c r="B71" s="298" t="s">
        <v>1471</v>
      </c>
    </row>
    <row r="73" spans="1:20" ht="14.4" x14ac:dyDescent="0.3">
      <c r="B73" t="s">
        <v>1474</v>
      </c>
      <c r="E73" s="538">
        <v>45292</v>
      </c>
      <c r="F73" s="538">
        <v>45323</v>
      </c>
      <c r="G73" s="538">
        <v>45352</v>
      </c>
      <c r="H73" s="538">
        <v>45383</v>
      </c>
      <c r="I73" s="538">
        <v>45413</v>
      </c>
      <c r="J73" s="538">
        <v>45444</v>
      </c>
      <c r="K73" s="538">
        <v>45474</v>
      </c>
      <c r="L73" s="538">
        <v>45505</v>
      </c>
      <c r="M73" s="538">
        <v>45536</v>
      </c>
      <c r="N73" s="538">
        <v>45566</v>
      </c>
      <c r="O73" s="538">
        <v>45597</v>
      </c>
      <c r="P73" s="538">
        <v>45627</v>
      </c>
    </row>
    <row r="74" spans="1:20" ht="27.6" x14ac:dyDescent="0.3">
      <c r="A74" s="539" t="s">
        <v>463</v>
      </c>
      <c r="B74" s="539" t="s">
        <v>1089</v>
      </c>
      <c r="C74" s="539" t="s">
        <v>1130</v>
      </c>
      <c r="D74" s="540" t="s">
        <v>1084</v>
      </c>
      <c r="E74" s="541">
        <v>7.0000000000000001E-3</v>
      </c>
      <c r="F74" s="541">
        <v>7.0000000000000001E-3</v>
      </c>
      <c r="G74" s="541">
        <v>7.0000000000000001E-3</v>
      </c>
      <c r="H74" s="541">
        <v>7.0000000000000001E-3</v>
      </c>
      <c r="I74" s="541">
        <v>7.0000000000000001E-3</v>
      </c>
      <c r="J74" s="541">
        <v>7.0000000000000001E-3</v>
      </c>
      <c r="K74" s="541">
        <v>7.0000000000000001E-3</v>
      </c>
      <c r="L74" s="541">
        <v>7.0000000000000001E-3</v>
      </c>
      <c r="M74" s="541">
        <v>7.0000000000000001E-3</v>
      </c>
      <c r="N74" s="541">
        <v>7.0000000000000001E-3</v>
      </c>
      <c r="O74" s="541">
        <v>7.0000000000000001E-3</v>
      </c>
      <c r="P74" s="541">
        <v>7.0000000000000001E-3</v>
      </c>
      <c r="T74" s="542"/>
    </row>
    <row r="75" spans="1:20" ht="27.6" x14ac:dyDescent="0.3">
      <c r="A75" s="539" t="s">
        <v>463</v>
      </c>
      <c r="B75" s="539" t="s">
        <v>1083</v>
      </c>
      <c r="C75" s="539" t="s">
        <v>1130</v>
      </c>
      <c r="D75" s="540" t="s">
        <v>1084</v>
      </c>
      <c r="E75" s="541">
        <v>2.5000000000000001E-2</v>
      </c>
      <c r="F75" s="541">
        <v>2.5000000000000001E-2</v>
      </c>
      <c r="G75" s="541">
        <v>2.5000000000000001E-2</v>
      </c>
      <c r="H75" s="541">
        <v>2.5000000000000001E-2</v>
      </c>
      <c r="I75" s="541">
        <v>2.5000000000000001E-2</v>
      </c>
      <c r="J75" s="541">
        <v>2.5000000000000001E-2</v>
      </c>
      <c r="K75" s="541">
        <v>2.5000000000000001E-2</v>
      </c>
      <c r="L75" s="541">
        <v>2.5000000000000001E-2</v>
      </c>
      <c r="M75" s="541">
        <v>2.5000000000000001E-2</v>
      </c>
      <c r="N75" s="541">
        <v>2.5000000000000001E-2</v>
      </c>
      <c r="O75" s="541">
        <v>2.5000000000000001E-2</v>
      </c>
      <c r="P75" s="541">
        <v>2.5000000000000001E-2</v>
      </c>
      <c r="T75" s="542"/>
    </row>
    <row r="76" spans="1:20" ht="27.6" x14ac:dyDescent="0.3">
      <c r="A76" s="539" t="s">
        <v>463</v>
      </c>
      <c r="B76" s="539" t="s">
        <v>1085</v>
      </c>
      <c r="C76" s="539" t="s">
        <v>1130</v>
      </c>
      <c r="D76" s="540" t="s">
        <v>1084</v>
      </c>
      <c r="E76" s="541">
        <v>1.9E-2</v>
      </c>
      <c r="F76" s="541">
        <v>1.9E-2</v>
      </c>
      <c r="G76" s="541">
        <v>1.9E-2</v>
      </c>
      <c r="H76" s="541">
        <v>1.9E-2</v>
      </c>
      <c r="I76" s="541">
        <v>1.9E-2</v>
      </c>
      <c r="J76" s="541">
        <v>1.9E-2</v>
      </c>
      <c r="K76" s="541">
        <v>1.9E-2</v>
      </c>
      <c r="L76" s="541">
        <v>1.9E-2</v>
      </c>
      <c r="M76" s="541">
        <v>1.9E-2</v>
      </c>
      <c r="N76" s="541">
        <v>1.9E-2</v>
      </c>
      <c r="O76" s="541">
        <v>1.9E-2</v>
      </c>
      <c r="P76" s="541">
        <v>1.9E-2</v>
      </c>
      <c r="T76" s="542"/>
    </row>
    <row r="77" spans="1:20" ht="27.6" x14ac:dyDescent="0.3">
      <c r="A77" s="185" t="s">
        <v>517</v>
      </c>
      <c r="B77" s="185" t="s">
        <v>1089</v>
      </c>
      <c r="C77" s="185" t="s">
        <v>1130</v>
      </c>
      <c r="D77" s="187" t="s">
        <v>1084</v>
      </c>
      <c r="E77" s="189">
        <v>4.1000000000000002E-2</v>
      </c>
      <c r="F77" s="189">
        <v>4.1000000000000002E-2</v>
      </c>
      <c r="G77" s="189">
        <v>4.1000000000000002E-2</v>
      </c>
      <c r="H77" s="189">
        <v>4.1000000000000002E-2</v>
      </c>
      <c r="I77" s="189">
        <v>4.1000000000000002E-2</v>
      </c>
      <c r="J77" s="189">
        <v>4.1000000000000002E-2</v>
      </c>
      <c r="K77" s="189">
        <v>4.1000000000000002E-2</v>
      </c>
      <c r="L77" s="189">
        <v>4.1000000000000002E-2</v>
      </c>
      <c r="M77" s="189">
        <v>4.1000000000000002E-2</v>
      </c>
      <c r="N77" s="189">
        <v>4.1000000000000002E-2</v>
      </c>
      <c r="O77" s="189">
        <v>4.1000000000000002E-2</v>
      </c>
      <c r="P77" s="189">
        <v>4.1000000000000002E-2</v>
      </c>
      <c r="T77" s="542"/>
    </row>
    <row r="78" spans="1:20" ht="27.6" x14ac:dyDescent="0.3">
      <c r="A78" s="185" t="s">
        <v>517</v>
      </c>
      <c r="B78" s="185" t="s">
        <v>1083</v>
      </c>
      <c r="C78" s="185" t="s">
        <v>1130</v>
      </c>
      <c r="D78" s="187" t="s">
        <v>1084</v>
      </c>
      <c r="E78" s="189">
        <v>0.21</v>
      </c>
      <c r="F78" s="189">
        <v>0.21</v>
      </c>
      <c r="G78" s="189">
        <v>0.21</v>
      </c>
      <c r="H78" s="189">
        <v>0.21</v>
      </c>
      <c r="I78" s="189">
        <v>0.21</v>
      </c>
      <c r="J78" s="189">
        <v>0.21</v>
      </c>
      <c r="K78" s="189">
        <v>0.21</v>
      </c>
      <c r="L78" s="189">
        <v>0.21</v>
      </c>
      <c r="M78" s="189">
        <v>0.21</v>
      </c>
      <c r="N78" s="189">
        <v>0.21</v>
      </c>
      <c r="O78" s="189">
        <v>0.21</v>
      </c>
      <c r="P78" s="189">
        <v>0.21</v>
      </c>
      <c r="T78" s="542"/>
    </row>
    <row r="79" spans="1:20" ht="27.6" x14ac:dyDescent="0.3">
      <c r="A79" s="185" t="s">
        <v>517</v>
      </c>
      <c r="B79" s="185" t="s">
        <v>1085</v>
      </c>
      <c r="C79" s="185" t="s">
        <v>1130</v>
      </c>
      <c r="D79" s="187" t="s">
        <v>1084</v>
      </c>
      <c r="E79" s="187"/>
      <c r="F79" s="187"/>
      <c r="G79" s="187"/>
      <c r="H79" s="187"/>
      <c r="I79" s="187"/>
      <c r="J79" s="187"/>
      <c r="K79" s="187"/>
      <c r="L79" s="187"/>
      <c r="M79" s="187"/>
      <c r="N79" s="187"/>
      <c r="O79" s="187"/>
      <c r="P79" s="187"/>
      <c r="T79" s="542"/>
    </row>
    <row r="80" spans="1:20" ht="27.6" x14ac:dyDescent="0.3">
      <c r="A80" s="539" t="s">
        <v>839</v>
      </c>
      <c r="B80" s="539" t="s">
        <v>1089</v>
      </c>
      <c r="C80" s="539" t="s">
        <v>1130</v>
      </c>
      <c r="D80" s="540" t="s">
        <v>1084</v>
      </c>
      <c r="E80" s="541">
        <v>2.9000000000000001E-2</v>
      </c>
      <c r="F80" s="541">
        <v>2.9000000000000001E-2</v>
      </c>
      <c r="G80" s="541">
        <v>2.9000000000000001E-2</v>
      </c>
      <c r="H80" s="541">
        <v>2.9000000000000001E-2</v>
      </c>
      <c r="I80" s="541">
        <v>2.9000000000000001E-2</v>
      </c>
      <c r="J80" s="541">
        <v>2.9000000000000001E-2</v>
      </c>
      <c r="K80" s="541">
        <v>2.9000000000000001E-2</v>
      </c>
      <c r="L80" s="541">
        <v>2.9000000000000001E-2</v>
      </c>
      <c r="M80" s="541">
        <v>2.9000000000000001E-2</v>
      </c>
      <c r="N80" s="541">
        <v>2.9000000000000001E-2</v>
      </c>
      <c r="O80" s="541">
        <v>2.9000000000000001E-2</v>
      </c>
      <c r="P80" s="541">
        <v>2.9000000000000001E-2</v>
      </c>
    </row>
    <row r="81" spans="1:16" ht="27.6" x14ac:dyDescent="0.3">
      <c r="A81" s="539" t="s">
        <v>839</v>
      </c>
      <c r="B81" s="539" t="s">
        <v>1083</v>
      </c>
      <c r="C81" s="539" t="s">
        <v>1130</v>
      </c>
      <c r="D81" s="540" t="s">
        <v>1084</v>
      </c>
      <c r="E81" s="541">
        <v>7.5999999999999998E-2</v>
      </c>
      <c r="F81" s="541">
        <v>7.5999999999999998E-2</v>
      </c>
      <c r="G81" s="541">
        <v>7.5999999999999998E-2</v>
      </c>
      <c r="H81" s="541">
        <v>7.5999999999999998E-2</v>
      </c>
      <c r="I81" s="541">
        <v>7.5999999999999998E-2</v>
      </c>
      <c r="J81" s="541">
        <v>7.5999999999999998E-2</v>
      </c>
      <c r="K81" s="541">
        <v>7.5999999999999998E-2</v>
      </c>
      <c r="L81" s="541">
        <v>7.5999999999999998E-2</v>
      </c>
      <c r="M81" s="541">
        <v>7.5999999999999998E-2</v>
      </c>
      <c r="N81" s="541">
        <v>7.5999999999999998E-2</v>
      </c>
      <c r="O81" s="541">
        <v>7.5999999999999998E-2</v>
      </c>
      <c r="P81" s="541">
        <v>7.5999999999999998E-2</v>
      </c>
    </row>
    <row r="82" spans="1:16" ht="27.6" x14ac:dyDescent="0.3">
      <c r="A82" s="539" t="s">
        <v>839</v>
      </c>
      <c r="B82" s="539" t="s">
        <v>1085</v>
      </c>
      <c r="C82" s="539" t="s">
        <v>1130</v>
      </c>
      <c r="D82" s="540" t="s">
        <v>1084</v>
      </c>
      <c r="E82" s="540"/>
      <c r="F82" s="540"/>
      <c r="G82" s="540"/>
      <c r="H82" s="540"/>
      <c r="I82" s="540"/>
      <c r="J82" s="540"/>
      <c r="K82" s="540"/>
      <c r="L82" s="540"/>
      <c r="M82" s="540"/>
      <c r="N82" s="540"/>
      <c r="O82" s="540"/>
      <c r="P82" s="540"/>
    </row>
    <row r="83" spans="1:16" ht="27.6" x14ac:dyDescent="0.3">
      <c r="A83" s="185" t="s">
        <v>514</v>
      </c>
      <c r="B83" s="185" t="s">
        <v>1089</v>
      </c>
      <c r="C83" s="185" t="s">
        <v>1130</v>
      </c>
      <c r="D83" s="187" t="s">
        <v>1084</v>
      </c>
      <c r="E83" s="189">
        <v>2.4E-2</v>
      </c>
      <c r="F83" s="189">
        <v>2.4E-2</v>
      </c>
      <c r="G83" s="189">
        <v>2.4E-2</v>
      </c>
      <c r="H83" s="189">
        <v>2.4E-2</v>
      </c>
      <c r="I83" s="189">
        <v>2.4E-2</v>
      </c>
      <c r="J83" s="189">
        <v>2.4E-2</v>
      </c>
      <c r="K83" s="189">
        <v>2.4E-2</v>
      </c>
      <c r="L83" s="189">
        <v>2.4E-2</v>
      </c>
      <c r="M83" s="189">
        <v>2.4E-2</v>
      </c>
      <c r="N83" s="189">
        <v>2.4E-2</v>
      </c>
      <c r="O83" s="189">
        <v>2.4E-2</v>
      </c>
      <c r="P83" s="189">
        <v>2.4E-2</v>
      </c>
    </row>
    <row r="84" spans="1:16" ht="27.6" x14ac:dyDescent="0.3">
      <c r="A84" s="185" t="s">
        <v>514</v>
      </c>
      <c r="B84" s="185" t="s">
        <v>1083</v>
      </c>
      <c r="C84" s="185" t="s">
        <v>1130</v>
      </c>
      <c r="D84" s="187" t="s">
        <v>1084</v>
      </c>
      <c r="E84" s="189">
        <v>6.3E-2</v>
      </c>
      <c r="F84" s="189">
        <v>6.3E-2</v>
      </c>
      <c r="G84" s="189">
        <v>6.3E-2</v>
      </c>
      <c r="H84" s="189">
        <v>6.3E-2</v>
      </c>
      <c r="I84" s="189">
        <v>6.3E-2</v>
      </c>
      <c r="J84" s="189">
        <v>6.3E-2</v>
      </c>
      <c r="K84" s="189">
        <v>6.3E-2</v>
      </c>
      <c r="L84" s="189">
        <v>6.3E-2</v>
      </c>
      <c r="M84" s="189">
        <v>6.3E-2</v>
      </c>
      <c r="N84" s="189">
        <v>6.3E-2</v>
      </c>
      <c r="O84" s="189">
        <v>6.3E-2</v>
      </c>
      <c r="P84" s="189">
        <v>6.3E-2</v>
      </c>
    </row>
    <row r="85" spans="1:16" ht="27.6" x14ac:dyDescent="0.3">
      <c r="A85" s="185" t="s">
        <v>514</v>
      </c>
      <c r="B85" s="185" t="s">
        <v>1085</v>
      </c>
      <c r="C85" s="185" t="s">
        <v>1130</v>
      </c>
      <c r="D85" s="187" t="s">
        <v>1084</v>
      </c>
      <c r="E85" s="187"/>
      <c r="F85" s="187"/>
      <c r="G85" s="187"/>
      <c r="H85" s="187"/>
      <c r="I85" s="187"/>
      <c r="J85" s="187"/>
      <c r="K85" s="187"/>
      <c r="L85" s="187"/>
      <c r="M85" s="187"/>
      <c r="N85" s="187"/>
      <c r="O85" s="187"/>
      <c r="P85" s="187"/>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0C29-4A01-4F5F-94B9-EFF57C7EC4E8}">
  <sheetPr codeName="Sheet23"/>
  <dimension ref="A1:Y137"/>
  <sheetViews>
    <sheetView showGridLines="0" zoomScale="85" zoomScaleNormal="85" workbookViewId="0">
      <pane xSplit="4" topLeftCell="Q1" activePane="topRight" state="frozen"/>
      <selection pane="topRight" activeCell="Y71" sqref="Y71"/>
    </sheetView>
  </sheetViews>
  <sheetFormatPr defaultColWidth="8.88671875" defaultRowHeight="13.8" x14ac:dyDescent="0.3"/>
  <cols>
    <col min="1" max="1" width="31.5546875" style="89" customWidth="1"/>
    <col min="2" max="3" width="17.77734375" style="89" customWidth="1"/>
    <col min="4" max="4" width="43" style="89" customWidth="1"/>
    <col min="5" max="16" width="17.77734375" style="89" customWidth="1"/>
    <col min="17" max="17" width="42.77734375" style="89" customWidth="1"/>
    <col min="18" max="18" width="40.109375" style="89" customWidth="1"/>
    <col min="19" max="19" width="25.21875" style="89" customWidth="1"/>
    <col min="20" max="20" width="17.21875" style="89" customWidth="1"/>
    <col min="21" max="21" width="11.44140625" style="89" customWidth="1"/>
    <col min="22" max="22" width="8.88671875" style="89"/>
    <col min="23" max="23" width="11.88671875" style="89" customWidth="1"/>
    <col min="24" max="24" width="8.88671875" style="89"/>
    <col min="25" max="25" width="9.88671875" style="89" bestFit="1" customWidth="1"/>
    <col min="26" max="16384" width="8.88671875" style="89"/>
  </cols>
  <sheetData>
    <row r="1" spans="1:25" x14ac:dyDescent="0.3">
      <c r="A1" s="871" t="s">
        <v>1140</v>
      </c>
      <c r="B1" s="871" t="s">
        <v>1140</v>
      </c>
      <c r="C1" s="871" t="s">
        <v>1140</v>
      </c>
      <c r="D1" s="871" t="s">
        <v>1140</v>
      </c>
      <c r="E1" s="871" t="s">
        <v>1140</v>
      </c>
      <c r="F1" s="871" t="s">
        <v>1140</v>
      </c>
      <c r="G1" s="871" t="s">
        <v>1140</v>
      </c>
      <c r="H1" s="871" t="s">
        <v>1140</v>
      </c>
      <c r="I1" s="871" t="s">
        <v>1140</v>
      </c>
      <c r="J1" s="871" t="s">
        <v>1140</v>
      </c>
      <c r="K1" s="871" t="s">
        <v>1140</v>
      </c>
      <c r="L1" s="871" t="s">
        <v>1140</v>
      </c>
      <c r="M1" s="871" t="s">
        <v>1140</v>
      </c>
      <c r="N1" s="871" t="s">
        <v>1140</v>
      </c>
      <c r="O1" s="871" t="s">
        <v>1140</v>
      </c>
      <c r="P1" s="871" t="s">
        <v>1140</v>
      </c>
      <c r="Q1" s="871" t="s">
        <v>1140</v>
      </c>
      <c r="R1" s="871" t="s">
        <v>1140</v>
      </c>
    </row>
    <row r="2" spans="1:25" ht="13.35" customHeight="1" x14ac:dyDescent="0.3">
      <c r="A2" s="173" t="s">
        <v>1063</v>
      </c>
      <c r="B2" s="173" t="s">
        <v>1063</v>
      </c>
      <c r="C2" s="173" t="s">
        <v>1063</v>
      </c>
      <c r="D2" s="173" t="s">
        <v>1063</v>
      </c>
      <c r="E2" s="173" t="s">
        <v>1063</v>
      </c>
      <c r="F2" s="173" t="s">
        <v>1063</v>
      </c>
      <c r="G2" s="173" t="s">
        <v>1063</v>
      </c>
      <c r="H2" s="173" t="s">
        <v>1063</v>
      </c>
      <c r="I2" s="173" t="s">
        <v>1063</v>
      </c>
      <c r="J2" s="173" t="s">
        <v>1063</v>
      </c>
      <c r="K2" s="173" t="s">
        <v>1063</v>
      </c>
      <c r="L2" s="173" t="s">
        <v>1063</v>
      </c>
      <c r="M2" s="173" t="s">
        <v>1063</v>
      </c>
      <c r="N2" s="173" t="s">
        <v>1063</v>
      </c>
      <c r="O2" s="173" t="s">
        <v>1063</v>
      </c>
      <c r="P2" s="173" t="s">
        <v>1063</v>
      </c>
      <c r="Q2" s="173" t="s">
        <v>1063</v>
      </c>
      <c r="R2" s="173" t="s">
        <v>1063</v>
      </c>
    </row>
    <row r="3" spans="1:25" x14ac:dyDescent="0.3">
      <c r="A3" s="871"/>
      <c r="B3" s="871"/>
      <c r="C3" s="871"/>
      <c r="D3" s="871"/>
      <c r="E3" s="871"/>
      <c r="F3" s="871"/>
      <c r="G3" s="871"/>
      <c r="H3" s="871"/>
      <c r="I3" s="871"/>
      <c r="J3" s="871"/>
      <c r="K3" s="871"/>
      <c r="L3" s="871"/>
      <c r="M3" s="871"/>
      <c r="N3" s="871"/>
      <c r="O3" s="871"/>
      <c r="P3" s="871"/>
      <c r="Q3" s="871"/>
      <c r="R3" s="871"/>
    </row>
    <row r="4" spans="1:25" x14ac:dyDescent="0.3">
      <c r="A4" s="872"/>
      <c r="B4" s="872"/>
      <c r="C4" s="872"/>
      <c r="D4" s="872"/>
      <c r="E4" s="872"/>
      <c r="F4" s="90"/>
      <c r="G4" s="873" t="s">
        <v>1105</v>
      </c>
      <c r="H4" s="873" t="s">
        <v>1105</v>
      </c>
      <c r="I4" s="872"/>
      <c r="J4" s="872"/>
      <c r="K4" s="872"/>
      <c r="L4" s="872"/>
      <c r="M4" s="872"/>
      <c r="N4" s="872"/>
      <c r="O4" s="872"/>
      <c r="P4" s="872"/>
      <c r="Q4" s="872"/>
      <c r="R4" s="872"/>
    </row>
    <row r="5" spans="1:25" x14ac:dyDescent="0.3">
      <c r="A5" s="872"/>
      <c r="B5" s="872"/>
      <c r="C5" s="872"/>
      <c r="D5" s="872"/>
      <c r="E5" s="872"/>
      <c r="F5" s="91"/>
      <c r="G5" s="174" t="s">
        <v>1106</v>
      </c>
      <c r="H5" s="174" t="s">
        <v>1106</v>
      </c>
      <c r="I5" s="872"/>
      <c r="J5" s="872"/>
      <c r="K5" s="872"/>
      <c r="L5" s="872"/>
      <c r="M5" s="872"/>
      <c r="N5" s="872"/>
      <c r="O5" s="872"/>
      <c r="P5" s="872"/>
      <c r="Q5" s="872"/>
      <c r="R5" s="872"/>
    </row>
    <row r="6" spans="1:25" x14ac:dyDescent="0.3">
      <c r="A6" s="872"/>
      <c r="B6" s="872"/>
      <c r="C6" s="872"/>
      <c r="D6" s="872"/>
      <c r="E6" s="872"/>
      <c r="F6" s="92"/>
      <c r="G6" s="873" t="s">
        <v>1107</v>
      </c>
      <c r="H6" s="873" t="s">
        <v>1107</v>
      </c>
      <c r="I6" s="872"/>
      <c r="J6" s="872"/>
      <c r="K6" s="872"/>
      <c r="L6" s="872"/>
      <c r="M6" s="872"/>
      <c r="N6" s="872"/>
      <c r="O6" s="872"/>
      <c r="P6" s="872"/>
      <c r="Q6" s="872"/>
      <c r="R6" s="872"/>
    </row>
    <row r="7" spans="1:25" x14ac:dyDescent="0.3">
      <c r="A7" s="872"/>
      <c r="B7" s="872"/>
      <c r="C7" s="872"/>
      <c r="D7" s="872"/>
      <c r="E7" s="872"/>
      <c r="F7" s="93"/>
      <c r="G7" s="873" t="s">
        <v>1108</v>
      </c>
      <c r="H7" s="873" t="s">
        <v>1108</v>
      </c>
      <c r="I7" s="872"/>
      <c r="J7" s="872"/>
      <c r="K7" s="872"/>
      <c r="L7" s="872"/>
      <c r="M7" s="872"/>
      <c r="N7" s="872"/>
      <c r="O7" s="872"/>
      <c r="P7" s="872"/>
      <c r="Q7" s="872"/>
      <c r="R7" s="872"/>
    </row>
    <row r="8" spans="1:25" x14ac:dyDescent="0.3">
      <c r="A8" s="872"/>
      <c r="B8" s="872"/>
      <c r="C8" s="872"/>
      <c r="D8" s="872"/>
      <c r="E8" s="872"/>
      <c r="F8" s="94"/>
      <c r="G8" s="873" t="s">
        <v>1109</v>
      </c>
      <c r="H8" s="873" t="s">
        <v>1109</v>
      </c>
      <c r="I8" s="872"/>
      <c r="J8" s="872"/>
      <c r="K8" s="872"/>
      <c r="L8" s="872"/>
      <c r="M8" s="872"/>
      <c r="N8" s="872"/>
      <c r="O8" s="872"/>
      <c r="P8" s="872"/>
      <c r="Q8" s="872"/>
      <c r="R8" s="872"/>
    </row>
    <row r="9" spans="1:25" x14ac:dyDescent="0.3">
      <c r="A9" s="872"/>
      <c r="B9" s="872"/>
      <c r="C9" s="872"/>
      <c r="D9" s="872"/>
      <c r="E9" s="872"/>
      <c r="F9" s="95"/>
      <c r="G9" s="873" t="s">
        <v>1111</v>
      </c>
      <c r="H9" s="873" t="s">
        <v>1111</v>
      </c>
      <c r="I9" s="872"/>
      <c r="J9" s="872"/>
      <c r="K9" s="872"/>
      <c r="L9" s="872"/>
      <c r="M9" s="872"/>
      <c r="N9" s="872"/>
      <c r="O9" s="872"/>
      <c r="P9" s="872"/>
      <c r="Q9" s="872"/>
      <c r="R9" s="872"/>
    </row>
    <row r="10" spans="1:25" x14ac:dyDescent="0.3">
      <c r="A10" s="102" t="s">
        <v>1065</v>
      </c>
      <c r="B10" s="102" t="s">
        <v>864</v>
      </c>
      <c r="C10" s="102" t="s">
        <v>1112</v>
      </c>
      <c r="D10" s="102" t="s">
        <v>1070</v>
      </c>
      <c r="E10" s="102" t="s">
        <v>1113</v>
      </c>
      <c r="F10" s="102" t="s">
        <v>1114</v>
      </c>
      <c r="G10" s="255" t="s">
        <v>1115</v>
      </c>
      <c r="H10" s="255" t="s">
        <v>1116</v>
      </c>
      <c r="I10" s="255" t="s">
        <v>1117</v>
      </c>
      <c r="J10" s="255" t="s">
        <v>1118</v>
      </c>
      <c r="K10" s="255" t="s">
        <v>1119</v>
      </c>
      <c r="L10" s="255" t="s">
        <v>1120</v>
      </c>
      <c r="M10" s="255" t="s">
        <v>1121</v>
      </c>
      <c r="N10" s="255" t="s">
        <v>1122</v>
      </c>
      <c r="O10" s="255" t="s">
        <v>1123</v>
      </c>
      <c r="P10" s="255" t="s">
        <v>1124</v>
      </c>
      <c r="Q10" s="255" t="s">
        <v>1125</v>
      </c>
      <c r="R10" s="255" t="s">
        <v>1126</v>
      </c>
      <c r="S10" s="102" t="s">
        <v>1127</v>
      </c>
      <c r="T10" s="102" t="s">
        <v>1128</v>
      </c>
      <c r="U10" s="290" t="s">
        <v>1475</v>
      </c>
    </row>
    <row r="11" spans="1:25" hidden="1" x14ac:dyDescent="0.3">
      <c r="A11" s="185" t="s">
        <v>497</v>
      </c>
      <c r="B11" s="96" t="s">
        <v>364</v>
      </c>
      <c r="C11" s="97" t="s">
        <v>865</v>
      </c>
      <c r="D11" s="185" t="s">
        <v>1080</v>
      </c>
      <c r="E11" s="185" t="s">
        <v>1130</v>
      </c>
      <c r="F11" s="187" t="s">
        <v>35</v>
      </c>
      <c r="G11" s="188">
        <v>37940.232000000004</v>
      </c>
      <c r="H11" s="188">
        <v>37468.192000000003</v>
      </c>
      <c r="I11" s="188">
        <v>37380.635000000002</v>
      </c>
      <c r="J11" s="188">
        <v>34803.85</v>
      </c>
      <c r="K11" s="188">
        <v>41843.504999999997</v>
      </c>
      <c r="L11" s="188">
        <v>38829.739000000001</v>
      </c>
      <c r="M11" s="188">
        <v>42496.955000000002</v>
      </c>
      <c r="N11" s="188">
        <v>41772.991000000002</v>
      </c>
      <c r="O11" s="188">
        <v>37140.999000000003</v>
      </c>
      <c r="P11" s="188">
        <v>35010.402000000002</v>
      </c>
      <c r="Q11" s="188">
        <v>31218.73</v>
      </c>
      <c r="R11" s="188">
        <v>28506.153999999999</v>
      </c>
      <c r="S11" s="99">
        <f>SUM(G11:R11)</f>
        <v>444412.38399999996</v>
      </c>
      <c r="T11" s="272">
        <v>500291.04200000002</v>
      </c>
      <c r="U11" s="325">
        <f>(TblElec[[#This Row],[2024 Total]]+S12)/'2024 Asset list'!I8</f>
        <v>2585.9711674563287</v>
      </c>
      <c r="X11" s="89">
        <v>2024</v>
      </c>
      <c r="Y11" s="89">
        <v>2023</v>
      </c>
    </row>
    <row r="12" spans="1:25" hidden="1" x14ac:dyDescent="0.3">
      <c r="A12" s="185" t="s">
        <v>497</v>
      </c>
      <c r="B12" s="96" t="s">
        <v>364</v>
      </c>
      <c r="C12" s="97" t="s">
        <v>865</v>
      </c>
      <c r="D12" s="185" t="s">
        <v>1087</v>
      </c>
      <c r="E12" s="185" t="s">
        <v>1130</v>
      </c>
      <c r="F12" s="187" t="s">
        <v>35</v>
      </c>
      <c r="G12" s="188">
        <v>85835.99</v>
      </c>
      <c r="H12" s="188">
        <v>81912.58</v>
      </c>
      <c r="I12" s="188">
        <v>84213.71</v>
      </c>
      <c r="J12" s="188">
        <v>83074.89</v>
      </c>
      <c r="K12" s="188">
        <v>85755.43</v>
      </c>
      <c r="L12" s="188">
        <v>83017.41</v>
      </c>
      <c r="M12" s="188">
        <v>89831.55</v>
      </c>
      <c r="N12" s="188">
        <v>88097.42</v>
      </c>
      <c r="O12" s="188">
        <v>85566.06</v>
      </c>
      <c r="P12" s="188">
        <v>88427.7</v>
      </c>
      <c r="Q12" s="188">
        <v>84375.08</v>
      </c>
      <c r="R12" s="188">
        <v>79962.850000000006</v>
      </c>
      <c r="S12" s="99">
        <f t="shared" ref="S12:S62" si="0">SUM(G12:R12)</f>
        <v>1020070.6699999999</v>
      </c>
      <c r="T12" s="99">
        <v>1010341.32</v>
      </c>
      <c r="U12" s="324"/>
      <c r="W12" s="89" t="s">
        <v>1476</v>
      </c>
      <c r="X12" s="209">
        <v>28829</v>
      </c>
      <c r="Y12" s="209">
        <v>28432</v>
      </c>
    </row>
    <row r="13" spans="1:25" hidden="1" x14ac:dyDescent="0.3">
      <c r="A13" s="185" t="s">
        <v>497</v>
      </c>
      <c r="B13" s="96" t="s">
        <v>364</v>
      </c>
      <c r="C13" s="97" t="s">
        <v>865</v>
      </c>
      <c r="D13" s="185" t="s">
        <v>1082</v>
      </c>
      <c r="E13" s="185" t="s">
        <v>1130</v>
      </c>
      <c r="F13" s="187" t="s">
        <v>35</v>
      </c>
      <c r="G13" s="188">
        <v>37940.232000000004</v>
      </c>
      <c r="H13" s="188">
        <v>37468.192000000003</v>
      </c>
      <c r="I13" s="188">
        <v>37380.635000000002</v>
      </c>
      <c r="J13" s="188">
        <v>34803.85</v>
      </c>
      <c r="K13" s="188">
        <v>41843.504999999997</v>
      </c>
      <c r="L13" s="188">
        <v>38829.739000000001</v>
      </c>
      <c r="M13" s="188">
        <v>42496.955000000002</v>
      </c>
      <c r="N13" s="188">
        <v>41772.991000000002</v>
      </c>
      <c r="O13" s="188">
        <v>37140.999000000003</v>
      </c>
      <c r="P13" s="188">
        <v>35010.402000000002</v>
      </c>
      <c r="Q13" s="188">
        <v>31218.73</v>
      </c>
      <c r="R13" s="188">
        <v>28506.153999999999</v>
      </c>
      <c r="S13" s="99">
        <f t="shared" si="0"/>
        <v>444412.38399999996</v>
      </c>
      <c r="T13" s="99">
        <f>T11</f>
        <v>500291.04200000002</v>
      </c>
      <c r="U13" s="324"/>
    </row>
    <row r="14" spans="1:25" hidden="1" x14ac:dyDescent="0.3">
      <c r="A14" s="185" t="s">
        <v>497</v>
      </c>
      <c r="B14" s="96" t="s">
        <v>364</v>
      </c>
      <c r="C14" s="97" t="s">
        <v>865</v>
      </c>
      <c r="D14" s="185" t="s">
        <v>1086</v>
      </c>
      <c r="E14" s="185" t="s">
        <v>1130</v>
      </c>
      <c r="F14" s="187" t="s">
        <v>35</v>
      </c>
      <c r="G14" s="188">
        <v>85835.99</v>
      </c>
      <c r="H14" s="188">
        <v>81912.58</v>
      </c>
      <c r="I14" s="188">
        <v>84213.71</v>
      </c>
      <c r="J14" s="188">
        <v>83074.89</v>
      </c>
      <c r="K14" s="188">
        <v>85755.43</v>
      </c>
      <c r="L14" s="188">
        <v>83017.41</v>
      </c>
      <c r="M14" s="188">
        <v>89831.55</v>
      </c>
      <c r="N14" s="188">
        <v>88097.42</v>
      </c>
      <c r="O14" s="188">
        <v>85566.06</v>
      </c>
      <c r="P14" s="188">
        <v>88427.7</v>
      </c>
      <c r="Q14" s="188">
        <v>84375.08</v>
      </c>
      <c r="R14" s="188">
        <v>79962.850000000006</v>
      </c>
      <c r="S14" s="99">
        <f t="shared" si="0"/>
        <v>1020070.6699999999</v>
      </c>
      <c r="T14" s="99">
        <v>667961.31999999995</v>
      </c>
      <c r="U14" s="324"/>
    </row>
    <row r="15" spans="1:25" hidden="1" x14ac:dyDescent="0.3">
      <c r="A15" s="185" t="s">
        <v>497</v>
      </c>
      <c r="B15" s="96" t="s">
        <v>364</v>
      </c>
      <c r="C15" s="97" t="s">
        <v>865</v>
      </c>
      <c r="D15" s="185" t="s">
        <v>1196</v>
      </c>
      <c r="E15" s="185" t="s">
        <v>1130</v>
      </c>
      <c r="F15" s="187" t="s">
        <v>35</v>
      </c>
      <c r="G15" s="188">
        <v>228</v>
      </c>
      <c r="H15" s="188">
        <v>440.53</v>
      </c>
      <c r="I15" s="188">
        <v>714.43</v>
      </c>
      <c r="J15" s="188">
        <v>1209.6400000000001</v>
      </c>
      <c r="K15" s="188">
        <v>1444.35</v>
      </c>
      <c r="L15" s="188">
        <v>1508.58</v>
      </c>
      <c r="M15" s="188">
        <v>1451.69</v>
      </c>
      <c r="N15" s="188">
        <v>1473.27</v>
      </c>
      <c r="O15" s="188">
        <v>955.93</v>
      </c>
      <c r="P15" s="188">
        <v>715.9</v>
      </c>
      <c r="Q15" s="188">
        <v>233.84</v>
      </c>
      <c r="R15" s="188">
        <v>160.57</v>
      </c>
      <c r="S15" s="99">
        <f t="shared" ref="S15" si="1">SUM(G15:R15)</f>
        <v>10536.730000000001</v>
      </c>
      <c r="T15" s="99">
        <v>11233.43</v>
      </c>
      <c r="U15" s="327">
        <f>(TblElec[[#This Row],[2024 Total]]) / (S11+S12)</f>
        <v>7.1948459705427235E-3</v>
      </c>
    </row>
    <row r="16" spans="1:25" hidden="1" x14ac:dyDescent="0.3">
      <c r="A16" s="185" t="s">
        <v>499</v>
      </c>
      <c r="B16" s="96" t="s">
        <v>364</v>
      </c>
      <c r="C16" s="97" t="s">
        <v>865</v>
      </c>
      <c r="D16" s="185" t="s">
        <v>1080</v>
      </c>
      <c r="E16" s="185" t="s">
        <v>1130</v>
      </c>
      <c r="F16" s="187" t="s">
        <v>35</v>
      </c>
      <c r="G16" s="188">
        <v>15487.3</v>
      </c>
      <c r="H16" s="188">
        <v>14089.48</v>
      </c>
      <c r="I16" s="188">
        <v>14170.56</v>
      </c>
      <c r="J16" s="188">
        <v>14160.37</v>
      </c>
      <c r="K16" s="188">
        <v>14345.59</v>
      </c>
      <c r="L16" s="188">
        <v>12766.07</v>
      </c>
      <c r="M16" s="188">
        <v>13913.8</v>
      </c>
      <c r="N16" s="188">
        <v>15561.75</v>
      </c>
      <c r="O16" s="188">
        <v>13360.53</v>
      </c>
      <c r="P16" s="188">
        <v>17380.669999999998</v>
      </c>
      <c r="Q16" s="188">
        <v>17364.72</v>
      </c>
      <c r="R16" s="188">
        <v>17903.55</v>
      </c>
      <c r="S16" s="99">
        <f t="shared" si="0"/>
        <v>180504.38999999998</v>
      </c>
      <c r="T16" s="99">
        <v>164862.67000000001</v>
      </c>
      <c r="U16" s="324">
        <f>(S17+TblElec[[#This Row],[2024 Total]])/'2024 Asset list'!I9</f>
        <v>1317.102384301372</v>
      </c>
    </row>
    <row r="17" spans="1:21" hidden="1" x14ac:dyDescent="0.3">
      <c r="A17" s="185" t="s">
        <v>499</v>
      </c>
      <c r="B17" s="96" t="s">
        <v>364</v>
      </c>
      <c r="C17" s="97" t="s">
        <v>865</v>
      </c>
      <c r="D17" s="185" t="s">
        <v>1087</v>
      </c>
      <c r="E17" s="185" t="s">
        <v>1130</v>
      </c>
      <c r="F17" s="187" t="s">
        <v>35</v>
      </c>
      <c r="G17" s="188">
        <v>47376</v>
      </c>
      <c r="H17" s="188">
        <v>44141</v>
      </c>
      <c r="I17" s="188">
        <v>44399</v>
      </c>
      <c r="J17" s="188">
        <v>39700</v>
      </c>
      <c r="K17" s="188">
        <v>37725</v>
      </c>
      <c r="L17" s="188">
        <v>35825</v>
      </c>
      <c r="M17" s="188">
        <v>38450</v>
      </c>
      <c r="N17" s="188">
        <v>43150</v>
      </c>
      <c r="O17" s="188">
        <v>38500</v>
      </c>
      <c r="P17" s="188">
        <v>36850</v>
      </c>
      <c r="Q17" s="188">
        <v>45450</v>
      </c>
      <c r="R17" s="188">
        <v>38150</v>
      </c>
      <c r="S17" s="99">
        <f t="shared" si="0"/>
        <v>489716</v>
      </c>
      <c r="T17" s="99">
        <v>476447</v>
      </c>
      <c r="U17" s="324"/>
    </row>
    <row r="18" spans="1:21" hidden="1" x14ac:dyDescent="0.3">
      <c r="A18" s="185" t="s">
        <v>499</v>
      </c>
      <c r="B18" s="96" t="s">
        <v>364</v>
      </c>
      <c r="C18" s="97" t="s">
        <v>865</v>
      </c>
      <c r="D18" s="185" t="s">
        <v>1082</v>
      </c>
      <c r="E18" s="185" t="s">
        <v>1130</v>
      </c>
      <c r="F18" s="187" t="s">
        <v>35</v>
      </c>
      <c r="G18" s="188">
        <v>15487.3</v>
      </c>
      <c r="H18" s="188">
        <v>14089.48</v>
      </c>
      <c r="I18" s="188">
        <v>14170.56</v>
      </c>
      <c r="J18" s="188">
        <v>14160.37</v>
      </c>
      <c r="K18" s="188">
        <v>14345.59</v>
      </c>
      <c r="L18" s="188">
        <v>12766.07</v>
      </c>
      <c r="M18" s="188">
        <v>13913.8</v>
      </c>
      <c r="N18" s="188">
        <v>15561.75</v>
      </c>
      <c r="O18" s="188">
        <v>13360.53</v>
      </c>
      <c r="P18" s="188">
        <v>17380.669999999998</v>
      </c>
      <c r="Q18" s="188">
        <v>17364.72</v>
      </c>
      <c r="R18" s="188">
        <v>17903.55</v>
      </c>
      <c r="S18" s="99">
        <f t="shared" si="0"/>
        <v>180504.38999999998</v>
      </c>
      <c r="T18" s="99">
        <f>T16</f>
        <v>164862.67000000001</v>
      </c>
      <c r="U18" s="324"/>
    </row>
    <row r="19" spans="1:21" hidden="1" x14ac:dyDescent="0.3">
      <c r="A19" s="185" t="s">
        <v>499</v>
      </c>
      <c r="B19" s="96" t="s">
        <v>364</v>
      </c>
      <c r="C19" s="97" t="s">
        <v>865</v>
      </c>
      <c r="D19" s="185" t="s">
        <v>1086</v>
      </c>
      <c r="E19" s="185" t="s">
        <v>1130</v>
      </c>
      <c r="F19" s="187" t="s">
        <v>35</v>
      </c>
      <c r="G19" s="188">
        <v>34126</v>
      </c>
      <c r="H19" s="188">
        <v>28791</v>
      </c>
      <c r="I19" s="188">
        <v>31799</v>
      </c>
      <c r="J19" s="188">
        <v>24550</v>
      </c>
      <c r="K19" s="188">
        <v>25875</v>
      </c>
      <c r="L19" s="188">
        <v>24625</v>
      </c>
      <c r="M19" s="188">
        <v>26450</v>
      </c>
      <c r="N19" s="188">
        <v>25100</v>
      </c>
      <c r="O19" s="188">
        <v>26350</v>
      </c>
      <c r="P19" s="188">
        <v>22500</v>
      </c>
      <c r="Q19" s="188">
        <v>31250</v>
      </c>
      <c r="R19" s="188">
        <v>25100</v>
      </c>
      <c r="S19" s="89">
        <f t="shared" si="0"/>
        <v>326516</v>
      </c>
      <c r="T19" s="99">
        <v>476447</v>
      </c>
      <c r="U19" s="324"/>
    </row>
    <row r="20" spans="1:21" hidden="1" x14ac:dyDescent="0.3">
      <c r="A20" s="185" t="s">
        <v>840</v>
      </c>
      <c r="B20" s="96" t="s">
        <v>505</v>
      </c>
      <c r="C20" s="97" t="s">
        <v>1204</v>
      </c>
      <c r="D20" s="185" t="s">
        <v>1092</v>
      </c>
      <c r="E20" s="185" t="s">
        <v>1130</v>
      </c>
      <c r="F20" s="187" t="s">
        <v>35</v>
      </c>
      <c r="G20" s="189">
        <v>4512.0060000000003</v>
      </c>
      <c r="H20" s="189">
        <v>4512.0060000000003</v>
      </c>
      <c r="I20" s="189">
        <v>4512.0060000000003</v>
      </c>
      <c r="J20" s="189">
        <v>4512.0060000000003</v>
      </c>
      <c r="K20" s="189">
        <v>4512.0060000000003</v>
      </c>
      <c r="L20" s="189">
        <v>4512.0060000000003</v>
      </c>
      <c r="M20" s="189">
        <v>4512.0060000000003</v>
      </c>
      <c r="N20" s="189">
        <v>4512.0060000000003</v>
      </c>
      <c r="O20" s="189">
        <v>4512.0060000000003</v>
      </c>
      <c r="P20" s="189">
        <v>4512.0060000000003</v>
      </c>
      <c r="Q20" s="189">
        <v>4512.0060000000003</v>
      </c>
      <c r="R20" s="189">
        <v>4512.0060000000003</v>
      </c>
      <c r="S20" s="189">
        <f t="shared" si="0"/>
        <v>54144.072000000007</v>
      </c>
      <c r="T20" s="231">
        <v>5305.1760000000004</v>
      </c>
      <c r="U20" s="324">
        <f>(TblElec[[#This Row],[2024 Total]]+S21)/'2024 Asset list'!I17</f>
        <v>5.3742846049604207</v>
      </c>
    </row>
    <row r="21" spans="1:21" hidden="1" x14ac:dyDescent="0.3">
      <c r="A21" s="185" t="s">
        <v>1137</v>
      </c>
      <c r="B21" s="96" t="s">
        <v>505</v>
      </c>
      <c r="C21" s="97" t="s">
        <v>871</v>
      </c>
      <c r="D21" s="185" t="s">
        <v>1092</v>
      </c>
      <c r="E21" s="185" t="s">
        <v>1130</v>
      </c>
      <c r="F21" s="187" t="s">
        <v>35</v>
      </c>
      <c r="G21" s="187"/>
      <c r="H21" s="187"/>
      <c r="I21" s="187"/>
      <c r="J21" s="187"/>
      <c r="K21" s="187"/>
      <c r="L21" s="187"/>
      <c r="M21" s="187"/>
      <c r="N21" s="187"/>
      <c r="O21" s="187"/>
      <c r="P21" s="187"/>
      <c r="Q21" s="187"/>
      <c r="R21" s="187"/>
      <c r="S21" s="99">
        <f>SUM(G21:R21)</f>
        <v>0</v>
      </c>
      <c r="T21" s="99">
        <v>0</v>
      </c>
      <c r="U21" s="324">
        <f>(TblElec[[#This Row],[2024 Total]]+S22)/'2024 Asset list'!I18</f>
        <v>1.9855627519887962</v>
      </c>
    </row>
    <row r="22" spans="1:21" hidden="1" x14ac:dyDescent="0.3">
      <c r="A22" s="185" t="s">
        <v>463</v>
      </c>
      <c r="B22" s="96" t="s">
        <v>364</v>
      </c>
      <c r="C22" s="97" t="s">
        <v>865</v>
      </c>
      <c r="D22" s="185" t="s">
        <v>1080</v>
      </c>
      <c r="E22" s="185" t="s">
        <v>1130</v>
      </c>
      <c r="F22" s="187" t="s">
        <v>35</v>
      </c>
      <c r="G22" s="188">
        <v>1022.6</v>
      </c>
      <c r="H22" s="188">
        <v>1032.7</v>
      </c>
      <c r="I22" s="188">
        <v>1064.201</v>
      </c>
      <c r="J22" s="188">
        <v>976.9</v>
      </c>
      <c r="K22" s="188">
        <v>980.8</v>
      </c>
      <c r="L22" s="188">
        <v>880.5</v>
      </c>
      <c r="M22" s="188">
        <v>1021.9</v>
      </c>
      <c r="N22" s="188">
        <v>972.1</v>
      </c>
      <c r="O22" s="188">
        <v>1368.1010000000001</v>
      </c>
      <c r="P22" s="188">
        <v>868.9</v>
      </c>
      <c r="Q22" s="188">
        <v>1116.3</v>
      </c>
      <c r="R22" s="188">
        <v>1123.5999999999999</v>
      </c>
      <c r="S22" s="99">
        <f t="shared" si="0"/>
        <v>12428.601999999999</v>
      </c>
      <c r="T22" s="99">
        <v>11298.100000000002</v>
      </c>
      <c r="U22" s="324">
        <f>(TblElec[[#This Row],[2024 Total]]+S23)/'2024 Asset list'!I20</f>
        <v>13.606900394791133</v>
      </c>
    </row>
    <row r="23" spans="1:21" hidden="1" x14ac:dyDescent="0.3">
      <c r="A23" s="185" t="s">
        <v>463</v>
      </c>
      <c r="B23" s="96" t="s">
        <v>364</v>
      </c>
      <c r="C23" s="97" t="s">
        <v>865</v>
      </c>
      <c r="D23" s="185" t="s">
        <v>1087</v>
      </c>
      <c r="E23" s="185" t="s">
        <v>1130</v>
      </c>
      <c r="F23" s="187" t="s">
        <v>35</v>
      </c>
      <c r="G23" s="188">
        <v>417.267</v>
      </c>
      <c r="H23" s="188">
        <v>436.767</v>
      </c>
      <c r="I23" s="188">
        <v>444.96699999999998</v>
      </c>
      <c r="J23" s="188">
        <v>427.96699999999998</v>
      </c>
      <c r="K23" s="188">
        <v>439.267</v>
      </c>
      <c r="L23" s="188">
        <v>455.66699999999997</v>
      </c>
      <c r="M23" s="188">
        <v>491.86700000000002</v>
      </c>
      <c r="N23" s="188">
        <v>454.767</v>
      </c>
      <c r="O23" s="188">
        <v>487.66699999999997</v>
      </c>
      <c r="P23" s="188">
        <v>456.16699999999997</v>
      </c>
      <c r="Q23" s="188">
        <v>474.36700000000002</v>
      </c>
      <c r="R23" s="188">
        <v>458.767</v>
      </c>
      <c r="S23" s="89">
        <f t="shared" si="0"/>
        <v>5445.5039999999999</v>
      </c>
      <c r="T23" s="99">
        <v>3295</v>
      </c>
      <c r="U23" s="324"/>
    </row>
    <row r="24" spans="1:21" hidden="1" x14ac:dyDescent="0.3">
      <c r="A24" s="185" t="s">
        <v>463</v>
      </c>
      <c r="B24" s="96" t="s">
        <v>364</v>
      </c>
      <c r="C24" s="97" t="s">
        <v>865</v>
      </c>
      <c r="D24" s="185" t="s">
        <v>1082</v>
      </c>
      <c r="E24" s="185" t="s">
        <v>1130</v>
      </c>
      <c r="F24" s="187" t="s">
        <v>35</v>
      </c>
      <c r="G24" s="188">
        <v>1022.6</v>
      </c>
      <c r="H24" s="188">
        <v>1032.7</v>
      </c>
      <c r="I24" s="188">
        <v>1064.201</v>
      </c>
      <c r="J24" s="188">
        <v>976.9</v>
      </c>
      <c r="K24" s="188">
        <v>980.8</v>
      </c>
      <c r="L24" s="188">
        <v>880.5</v>
      </c>
      <c r="M24" s="188">
        <v>1021.9</v>
      </c>
      <c r="N24" s="188">
        <v>972.1</v>
      </c>
      <c r="O24" s="188">
        <v>1368.1010000000001</v>
      </c>
      <c r="P24" s="188">
        <v>868.9</v>
      </c>
      <c r="Q24" s="188">
        <v>1116.3</v>
      </c>
      <c r="R24" s="188">
        <v>1123.5999999999999</v>
      </c>
      <c r="S24" s="99">
        <f t="shared" si="0"/>
        <v>12428.601999999999</v>
      </c>
      <c r="T24" s="99">
        <f>T22</f>
        <v>11298.100000000002</v>
      </c>
      <c r="U24" s="324"/>
    </row>
    <row r="25" spans="1:21" hidden="1" x14ac:dyDescent="0.3">
      <c r="A25" s="185" t="s">
        <v>463</v>
      </c>
      <c r="B25" s="96" t="s">
        <v>364</v>
      </c>
      <c r="C25" s="97" t="s">
        <v>865</v>
      </c>
      <c r="D25" s="185" t="s">
        <v>1086</v>
      </c>
      <c r="E25" s="185" t="s">
        <v>1130</v>
      </c>
      <c r="F25" s="187" t="s">
        <v>35</v>
      </c>
      <c r="G25" s="188">
        <v>417.267</v>
      </c>
      <c r="H25" s="188">
        <v>436.767</v>
      </c>
      <c r="I25" s="188">
        <v>444.96699999999998</v>
      </c>
      <c r="J25" s="188">
        <v>427.96699999999998</v>
      </c>
      <c r="K25" s="188">
        <v>439.267</v>
      </c>
      <c r="L25" s="188">
        <v>455.66699999999997</v>
      </c>
      <c r="M25" s="188">
        <v>491.86700000000002</v>
      </c>
      <c r="N25" s="188">
        <v>454.767</v>
      </c>
      <c r="O25" s="188">
        <v>487.66699999999997</v>
      </c>
      <c r="P25" s="188">
        <v>456.16699999999997</v>
      </c>
      <c r="Q25" s="188">
        <v>474.36700000000002</v>
      </c>
      <c r="R25" s="188">
        <v>458.767</v>
      </c>
      <c r="S25" s="99">
        <f t="shared" si="0"/>
        <v>5445.5039999999999</v>
      </c>
      <c r="T25" s="99">
        <v>2948</v>
      </c>
      <c r="U25" s="324"/>
    </row>
    <row r="26" spans="1:21" hidden="1" x14ac:dyDescent="0.3">
      <c r="A26" s="185" t="s">
        <v>517</v>
      </c>
      <c r="B26" s="96" t="s">
        <v>364</v>
      </c>
      <c r="C26" s="97" t="s">
        <v>865</v>
      </c>
      <c r="D26" s="185" t="s">
        <v>1092</v>
      </c>
      <c r="E26" s="185" t="s">
        <v>1130</v>
      </c>
      <c r="F26" s="187" t="s">
        <v>35</v>
      </c>
      <c r="G26" s="189">
        <v>13794.328</v>
      </c>
      <c r="H26" s="189">
        <v>13794.328</v>
      </c>
      <c r="I26" s="189">
        <v>13794.328</v>
      </c>
      <c r="J26" s="189">
        <v>13794.328</v>
      </c>
      <c r="K26" s="189">
        <v>13794.328</v>
      </c>
      <c r="L26" s="189">
        <v>13794.328</v>
      </c>
      <c r="M26" s="189">
        <v>13794.328</v>
      </c>
      <c r="N26" s="189">
        <v>13794.328</v>
      </c>
      <c r="O26" s="189">
        <v>13794.328</v>
      </c>
      <c r="P26" s="189">
        <v>13794.328</v>
      </c>
      <c r="Q26" s="189">
        <v>13794.328</v>
      </c>
      <c r="R26" s="189">
        <v>13794.328</v>
      </c>
      <c r="S26" s="189">
        <f t="shared" si="0"/>
        <v>165531.93599999999</v>
      </c>
      <c r="T26" s="121">
        <v>13924.404</v>
      </c>
      <c r="U26" s="324" t="e">
        <f>(TblElec[[#This Row],[2024 Total]]+S27)/'2024 Asset list'!I23</f>
        <v>#DIV/0!</v>
      </c>
    </row>
    <row r="27" spans="1:21" x14ac:dyDescent="0.3">
      <c r="A27" s="185" t="s">
        <v>460</v>
      </c>
      <c r="B27" s="96" t="s">
        <v>364</v>
      </c>
      <c r="C27" s="97" t="s">
        <v>865</v>
      </c>
      <c r="D27" s="185" t="s">
        <v>1080</v>
      </c>
      <c r="E27" s="185" t="s">
        <v>1130</v>
      </c>
      <c r="F27" s="187" t="s">
        <v>35</v>
      </c>
      <c r="G27" s="188">
        <v>13376.136</v>
      </c>
      <c r="H27" s="188">
        <v>12377.951999999999</v>
      </c>
      <c r="I27" s="188">
        <v>11220.936</v>
      </c>
      <c r="J27" s="188">
        <v>11710.343999999999</v>
      </c>
      <c r="K27" s="188">
        <v>11289.575999999999</v>
      </c>
      <c r="L27" s="188">
        <v>10189.415999999999</v>
      </c>
      <c r="M27" s="188">
        <v>13432.368</v>
      </c>
      <c r="N27" s="188">
        <v>13738.128000000001</v>
      </c>
      <c r="O27" s="188">
        <v>12290.448</v>
      </c>
      <c r="P27" s="188">
        <v>14838.504000000001</v>
      </c>
      <c r="Q27" s="188">
        <v>14386.296</v>
      </c>
      <c r="R27" s="188">
        <v>13248.696</v>
      </c>
      <c r="S27" s="99">
        <f t="shared" si="0"/>
        <v>152098.79999999999</v>
      </c>
      <c r="T27" s="99">
        <v>187236.82199999999</v>
      </c>
      <c r="U27" s="324" t="e">
        <f>(TblElec[[#This Row],[2024 Total]]+S28)/'2024 Asset list'!I24</f>
        <v>#DIV/0!</v>
      </c>
    </row>
    <row r="28" spans="1:21" x14ac:dyDescent="0.3">
      <c r="A28" s="185" t="s">
        <v>460</v>
      </c>
      <c r="B28" s="96" t="s">
        <v>364</v>
      </c>
      <c r="C28" s="97" t="s">
        <v>865</v>
      </c>
      <c r="D28" s="185" t="s">
        <v>1087</v>
      </c>
      <c r="E28" s="185" t="s">
        <v>1130</v>
      </c>
      <c r="F28" s="187" t="s">
        <v>35</v>
      </c>
      <c r="G28" s="188">
        <v>25539.761999999999</v>
      </c>
      <c r="H28" s="188">
        <v>23565.761999999999</v>
      </c>
      <c r="I28" s="188">
        <v>26464.761999999999</v>
      </c>
      <c r="J28" s="188">
        <v>28974.261999999999</v>
      </c>
      <c r="K28" s="188">
        <v>28348.261999999999</v>
      </c>
      <c r="L28" s="188">
        <v>25839.761999999999</v>
      </c>
      <c r="M28" s="188">
        <v>19829.761999999999</v>
      </c>
      <c r="N28" s="188">
        <v>30453.261999999999</v>
      </c>
      <c r="O28" s="188">
        <v>25865.261999999999</v>
      </c>
      <c r="P28" s="188">
        <v>21183.261999999999</v>
      </c>
      <c r="Q28" s="188">
        <v>23205.261999999999</v>
      </c>
      <c r="R28" s="188">
        <v>21431.352999999999</v>
      </c>
      <c r="S28" s="99">
        <f t="shared" si="0"/>
        <v>300700.73499999993</v>
      </c>
      <c r="T28" s="99">
        <v>283657.5</v>
      </c>
      <c r="U28" s="324">
        <f>(TblElec[[#This Row],[2024 Total]]+S29)/'2024 Asset list'!I25</f>
        <v>3.0114297333654791</v>
      </c>
    </row>
    <row r="29" spans="1:21" x14ac:dyDescent="0.3">
      <c r="A29" s="185" t="s">
        <v>460</v>
      </c>
      <c r="B29" s="96" t="s">
        <v>364</v>
      </c>
      <c r="C29" s="97" t="s">
        <v>865</v>
      </c>
      <c r="D29" s="185" t="s">
        <v>1082</v>
      </c>
      <c r="E29" s="185" t="s">
        <v>1130</v>
      </c>
      <c r="F29" s="187" t="s">
        <v>35</v>
      </c>
      <c r="G29" s="188">
        <v>13376.136</v>
      </c>
      <c r="H29" s="188">
        <v>12377.951999999999</v>
      </c>
      <c r="I29" s="188">
        <v>11220.936</v>
      </c>
      <c r="J29" s="188">
        <v>11710.343999999999</v>
      </c>
      <c r="K29" s="188">
        <v>11289.575999999999</v>
      </c>
      <c r="L29" s="188">
        <v>10189.415999999999</v>
      </c>
      <c r="M29" s="188">
        <v>13432.368</v>
      </c>
      <c r="N29" s="188">
        <v>13738.128000000001</v>
      </c>
      <c r="O29" s="188">
        <v>12290.448</v>
      </c>
      <c r="P29" s="188">
        <v>14838.504000000001</v>
      </c>
      <c r="Q29" s="188">
        <v>14386.296</v>
      </c>
      <c r="R29" s="188">
        <v>13248.696</v>
      </c>
      <c r="S29" s="99">
        <f t="shared" si="0"/>
        <v>152098.79999999999</v>
      </c>
      <c r="T29" s="99">
        <v>187236.82199999999</v>
      </c>
      <c r="U29" s="324">
        <f>(TblElec[[#This Row],[2024 Total]]+S30)/'2024 Asset list'!I26</f>
        <v>1.3895789630758351</v>
      </c>
    </row>
    <row r="30" spans="1:21" x14ac:dyDescent="0.3">
      <c r="A30" s="185" t="s">
        <v>460</v>
      </c>
      <c r="B30" s="96" t="s">
        <v>364</v>
      </c>
      <c r="C30" s="97" t="s">
        <v>865</v>
      </c>
      <c r="D30" s="185" t="s">
        <v>1086</v>
      </c>
      <c r="E30" s="185" t="s">
        <v>1130</v>
      </c>
      <c r="F30" s="187" t="s">
        <v>35</v>
      </c>
      <c r="G30" s="188">
        <v>3000.8530000000001</v>
      </c>
      <c r="H30" s="188">
        <v>3000.8530000000001</v>
      </c>
      <c r="I30" s="188">
        <v>3439.8530000000001</v>
      </c>
      <c r="J30" s="188">
        <v>6197.3530000000001</v>
      </c>
      <c r="K30" s="188">
        <v>6197.3530000000001</v>
      </c>
      <c r="L30" s="188">
        <v>4948.8530000000001</v>
      </c>
      <c r="M30" s="188">
        <v>4948.8530000000001</v>
      </c>
      <c r="N30" s="188">
        <v>4787.3530000000001</v>
      </c>
      <c r="O30" s="188">
        <v>4787.3530000000001</v>
      </c>
      <c r="P30" s="188">
        <v>5037.3530000000001</v>
      </c>
      <c r="Q30" s="188">
        <v>5037.3530000000001</v>
      </c>
      <c r="R30" s="188">
        <v>5455.3530000000001</v>
      </c>
      <c r="S30" s="99">
        <f t="shared" si="0"/>
        <v>56838.736000000012</v>
      </c>
      <c r="T30" s="99">
        <v>0</v>
      </c>
      <c r="U30" s="324">
        <f>(TblElec[[#This Row],[2024 Total]]+S31)/'2024 Asset list'!I27</f>
        <v>0.81316441489355995</v>
      </c>
    </row>
    <row r="31" spans="1:21" x14ac:dyDescent="0.3">
      <c r="A31" s="185" t="s">
        <v>460</v>
      </c>
      <c r="B31" s="96" t="s">
        <v>364</v>
      </c>
      <c r="C31" s="97" t="s">
        <v>865</v>
      </c>
      <c r="D31" s="185" t="s">
        <v>1196</v>
      </c>
      <c r="E31" s="185" t="s">
        <v>1130</v>
      </c>
      <c r="F31" s="187" t="s">
        <v>35</v>
      </c>
      <c r="G31" s="188">
        <v>850</v>
      </c>
      <c r="H31" s="188">
        <v>1590</v>
      </c>
      <c r="I31" s="188">
        <v>2680</v>
      </c>
      <c r="J31" s="188">
        <v>4520</v>
      </c>
      <c r="K31" s="188">
        <v>5580</v>
      </c>
      <c r="L31" s="188">
        <v>5894.24</v>
      </c>
      <c r="M31" s="188">
        <v>5520.96</v>
      </c>
      <c r="N31" s="188">
        <v>4906.0110000000004</v>
      </c>
      <c r="O31" s="188">
        <v>3022.8240000000001</v>
      </c>
      <c r="P31" s="188">
        <v>2137.2919999999999</v>
      </c>
      <c r="Q31" s="188">
        <v>791.23</v>
      </c>
      <c r="R31" s="188">
        <v>533.62599999999998</v>
      </c>
      <c r="S31" s="99">
        <f t="shared" si="0"/>
        <v>38026.182999999997</v>
      </c>
      <c r="T31" s="99">
        <v>37920.119999999995</v>
      </c>
      <c r="U31" s="324">
        <f>(TblElec[[#This Row],[2024 Total]]+S32)/'2024 Asset list'!I28</f>
        <v>2.7913287392727208</v>
      </c>
    </row>
    <row r="32" spans="1:21" hidden="1" x14ac:dyDescent="0.3">
      <c r="A32" s="185" t="s">
        <v>1094</v>
      </c>
      <c r="B32" s="96" t="s">
        <v>364</v>
      </c>
      <c r="C32" s="97" t="s">
        <v>865</v>
      </c>
      <c r="D32" s="185" t="s">
        <v>1080</v>
      </c>
      <c r="E32" s="185" t="s">
        <v>1130</v>
      </c>
      <c r="F32" s="187" t="s">
        <v>35</v>
      </c>
      <c r="G32" s="188">
        <v>19711.438999999998</v>
      </c>
      <c r="H32" s="188">
        <v>18259.687999999998</v>
      </c>
      <c r="I32" s="188">
        <v>17983.701000000001</v>
      </c>
      <c r="J32" s="188">
        <v>18609.366000000002</v>
      </c>
      <c r="K32" s="188">
        <v>19477.187999999998</v>
      </c>
      <c r="L32" s="188">
        <v>18074.34</v>
      </c>
      <c r="M32" s="188">
        <v>22044.080000000002</v>
      </c>
      <c r="N32" s="188">
        <v>23255</v>
      </c>
      <c r="O32" s="188">
        <v>16925.554</v>
      </c>
      <c r="P32" s="188">
        <v>18113.185000000001</v>
      </c>
      <c r="Q32" s="188">
        <v>18442.306</v>
      </c>
      <c r="R32" s="188">
        <v>17380.081999999999</v>
      </c>
      <c r="S32" s="99">
        <f t="shared" si="0"/>
        <v>228275.92899999997</v>
      </c>
      <c r="T32" s="99">
        <v>234559.17699999997</v>
      </c>
      <c r="U32" s="324">
        <f>(TblElec[[#This Row],[2024 Total]]+S33)/'2024 Asset list'!I4</f>
        <v>30.127256363533416</v>
      </c>
    </row>
    <row r="33" spans="1:21" hidden="1" x14ac:dyDescent="0.3">
      <c r="A33" s="185" t="s">
        <v>1094</v>
      </c>
      <c r="B33" s="96" t="s">
        <v>364</v>
      </c>
      <c r="C33" s="97" t="s">
        <v>865</v>
      </c>
      <c r="D33" s="185" t="s">
        <v>1087</v>
      </c>
      <c r="E33" s="185" t="s">
        <v>1130</v>
      </c>
      <c r="F33" s="187" t="s">
        <v>35</v>
      </c>
      <c r="G33" s="188">
        <v>28754</v>
      </c>
      <c r="H33" s="188">
        <v>26256</v>
      </c>
      <c r="I33" s="188">
        <v>25929</v>
      </c>
      <c r="J33" s="188">
        <v>25552</v>
      </c>
      <c r="K33" s="188">
        <v>24976</v>
      </c>
      <c r="L33" s="188">
        <v>23946</v>
      </c>
      <c r="M33" s="188">
        <v>25338</v>
      </c>
      <c r="N33" s="188">
        <v>24802</v>
      </c>
      <c r="O33" s="188">
        <v>25571</v>
      </c>
      <c r="P33" s="188">
        <v>25845</v>
      </c>
      <c r="Q33" s="188">
        <v>31597</v>
      </c>
      <c r="R33" s="188">
        <v>29840</v>
      </c>
      <c r="S33" s="99">
        <f t="shared" si="0"/>
        <v>318406</v>
      </c>
      <c r="T33" s="99">
        <v>432029</v>
      </c>
      <c r="U33" s="324"/>
    </row>
    <row r="34" spans="1:21" hidden="1" x14ac:dyDescent="0.3">
      <c r="A34" s="185" t="s">
        <v>1094</v>
      </c>
      <c r="B34" s="96" t="s">
        <v>364</v>
      </c>
      <c r="C34" s="97" t="s">
        <v>865</v>
      </c>
      <c r="D34" s="185" t="s">
        <v>1082</v>
      </c>
      <c r="E34" s="185" t="s">
        <v>1130</v>
      </c>
      <c r="F34" s="187" t="s">
        <v>35</v>
      </c>
      <c r="G34" s="188">
        <v>19711.438999999998</v>
      </c>
      <c r="H34" s="188">
        <v>18259.687999999998</v>
      </c>
      <c r="I34" s="188">
        <v>17983.701000000001</v>
      </c>
      <c r="J34" s="188">
        <v>18609.366000000002</v>
      </c>
      <c r="K34" s="188">
        <v>19477.187999999998</v>
      </c>
      <c r="L34" s="188">
        <v>18074.34</v>
      </c>
      <c r="M34" s="188">
        <v>22044.080000000002</v>
      </c>
      <c r="N34" s="188">
        <v>23255</v>
      </c>
      <c r="O34" s="188">
        <v>16925.554</v>
      </c>
      <c r="P34" s="188">
        <v>18113.185000000001</v>
      </c>
      <c r="Q34" s="188">
        <v>18442.306</v>
      </c>
      <c r="R34" s="188">
        <v>17380.081999999999</v>
      </c>
      <c r="S34" s="99">
        <f t="shared" si="0"/>
        <v>228275.92899999997</v>
      </c>
      <c r="T34" s="99">
        <f>T32</f>
        <v>234559.17699999997</v>
      </c>
      <c r="U34" s="324"/>
    </row>
    <row r="35" spans="1:21" hidden="1" x14ac:dyDescent="0.3">
      <c r="A35" s="185" t="s">
        <v>1094</v>
      </c>
      <c r="B35" s="96" t="s">
        <v>364</v>
      </c>
      <c r="C35" s="97" t="s">
        <v>865</v>
      </c>
      <c r="D35" s="185" t="s">
        <v>1086</v>
      </c>
      <c r="E35" s="185" t="s">
        <v>1130</v>
      </c>
      <c r="F35" s="187" t="s">
        <v>35</v>
      </c>
      <c r="G35" s="188">
        <v>17929</v>
      </c>
      <c r="H35" s="188">
        <v>15431</v>
      </c>
      <c r="I35" s="188">
        <v>15954</v>
      </c>
      <c r="J35" s="188">
        <v>15577</v>
      </c>
      <c r="K35" s="188">
        <v>15626</v>
      </c>
      <c r="L35" s="188">
        <v>14596</v>
      </c>
      <c r="M35" s="188">
        <v>15738</v>
      </c>
      <c r="N35" s="188">
        <v>15202</v>
      </c>
      <c r="O35" s="188">
        <v>14721</v>
      </c>
      <c r="P35" s="188">
        <v>14995</v>
      </c>
      <c r="Q35" s="188">
        <v>15847</v>
      </c>
      <c r="R35" s="188">
        <v>14090</v>
      </c>
      <c r="S35" s="99">
        <f t="shared" si="0"/>
        <v>185706</v>
      </c>
      <c r="T35" s="99">
        <v>0</v>
      </c>
      <c r="U35" s="324"/>
    </row>
    <row r="36" spans="1:21" hidden="1" x14ac:dyDescent="0.3">
      <c r="A36" s="185" t="s">
        <v>1095</v>
      </c>
      <c r="B36" s="96" t="s">
        <v>364</v>
      </c>
      <c r="C36" s="97" t="s">
        <v>865</v>
      </c>
      <c r="D36" s="185" t="s">
        <v>1080</v>
      </c>
      <c r="E36" s="185" t="s">
        <v>1130</v>
      </c>
      <c r="F36" s="187" t="s">
        <v>35</v>
      </c>
      <c r="G36" s="188">
        <v>16732.219000000001</v>
      </c>
      <c r="H36" s="188">
        <v>14187.313</v>
      </c>
      <c r="I36" s="188">
        <v>14233.5</v>
      </c>
      <c r="J36" s="188">
        <v>13459.688</v>
      </c>
      <c r="K36" s="188">
        <v>13710.625</v>
      </c>
      <c r="L36" s="188">
        <v>11464.813</v>
      </c>
      <c r="M36" s="188">
        <v>12190.438</v>
      </c>
      <c r="N36" s="188">
        <v>12324.5</v>
      </c>
      <c r="O36" s="188">
        <v>13215.5</v>
      </c>
      <c r="P36" s="188">
        <v>13653.188</v>
      </c>
      <c r="Q36" s="188">
        <v>14183.063</v>
      </c>
      <c r="R36" s="188">
        <v>15739.063</v>
      </c>
      <c r="S36" s="99">
        <f t="shared" si="0"/>
        <v>165093.90999999997</v>
      </c>
      <c r="T36" s="99">
        <v>173129.78299999997</v>
      </c>
      <c r="U36" s="324">
        <f>(TblElec[[#This Row],[2024 Total]]+S37)/'2024 Asset list'!I21</f>
        <v>725.32498036078073</v>
      </c>
    </row>
    <row r="37" spans="1:21" hidden="1" x14ac:dyDescent="0.3">
      <c r="A37" s="185" t="s">
        <v>1095</v>
      </c>
      <c r="B37" s="96" t="s">
        <v>364</v>
      </c>
      <c r="C37" s="97" t="s">
        <v>865</v>
      </c>
      <c r="D37" s="185" t="s">
        <v>1087</v>
      </c>
      <c r="E37" s="185" t="s">
        <v>1130</v>
      </c>
      <c r="F37" s="187" t="s">
        <v>35</v>
      </c>
      <c r="G37" s="188">
        <v>59958.667000000001</v>
      </c>
      <c r="H37" s="188">
        <v>59141.667000000001</v>
      </c>
      <c r="I37" s="188">
        <v>53149.667000000001</v>
      </c>
      <c r="J37" s="188">
        <v>54822.896999999997</v>
      </c>
      <c r="K37" s="188">
        <v>51576.817000000003</v>
      </c>
      <c r="L37" s="188">
        <v>52244.517</v>
      </c>
      <c r="M37" s="188">
        <v>40324</v>
      </c>
      <c r="N37" s="188">
        <v>49088</v>
      </c>
      <c r="O37" s="188">
        <v>47218.34</v>
      </c>
      <c r="P37" s="188">
        <v>52410.66</v>
      </c>
      <c r="Q37" s="188">
        <v>53623.6</v>
      </c>
      <c r="R37" s="188">
        <v>48124.4</v>
      </c>
      <c r="S37" s="99">
        <f>SUM(G37:R37)</f>
        <v>621683.23199999996</v>
      </c>
      <c r="T37" s="99">
        <v>359238</v>
      </c>
      <c r="U37" s="324"/>
    </row>
    <row r="38" spans="1:21" ht="50.25" hidden="1" customHeight="1" x14ac:dyDescent="0.3">
      <c r="A38" s="185" t="s">
        <v>1095</v>
      </c>
      <c r="B38" s="96" t="s">
        <v>364</v>
      </c>
      <c r="C38" s="97" t="s">
        <v>865</v>
      </c>
      <c r="D38" s="185" t="s">
        <v>1082</v>
      </c>
      <c r="E38" s="185" t="s">
        <v>1130</v>
      </c>
      <c r="F38" s="187" t="s">
        <v>35</v>
      </c>
      <c r="G38" s="188">
        <v>16732.219000000001</v>
      </c>
      <c r="H38" s="188">
        <v>14187.313</v>
      </c>
      <c r="I38" s="188">
        <v>14233.5</v>
      </c>
      <c r="J38" s="188">
        <v>13459.688</v>
      </c>
      <c r="K38" s="188">
        <v>13710.625</v>
      </c>
      <c r="L38" s="188">
        <v>11464.813</v>
      </c>
      <c r="M38" s="188">
        <v>12190.438</v>
      </c>
      <c r="N38" s="188">
        <v>12324.5</v>
      </c>
      <c r="O38" s="188">
        <v>13215.5</v>
      </c>
      <c r="P38" s="188">
        <v>13653.188</v>
      </c>
      <c r="Q38" s="188">
        <v>14183.063</v>
      </c>
      <c r="R38" s="188">
        <v>15739.063</v>
      </c>
      <c r="S38" s="226">
        <f t="shared" si="0"/>
        <v>165093.90999999997</v>
      </c>
      <c r="T38" s="99">
        <f>T36</f>
        <v>173129.78299999997</v>
      </c>
      <c r="U38" s="324"/>
    </row>
    <row r="39" spans="1:21" hidden="1" x14ac:dyDescent="0.3">
      <c r="A39" s="185" t="s">
        <v>1095</v>
      </c>
      <c r="B39" s="96" t="s">
        <v>364</v>
      </c>
      <c r="C39" s="97" t="s">
        <v>865</v>
      </c>
      <c r="D39" s="185" t="s">
        <v>1086</v>
      </c>
      <c r="E39" s="185" t="s">
        <v>1130</v>
      </c>
      <c r="F39" s="187" t="s">
        <v>35</v>
      </c>
      <c r="G39" s="188">
        <v>51408.667000000001</v>
      </c>
      <c r="H39" s="188">
        <v>52591.667000000001</v>
      </c>
      <c r="I39" s="188">
        <v>46099.667000000001</v>
      </c>
      <c r="J39" s="188">
        <v>48972.896999999997</v>
      </c>
      <c r="K39" s="188">
        <v>45176.817000000003</v>
      </c>
      <c r="L39" s="188">
        <v>45694.517</v>
      </c>
      <c r="M39" s="188">
        <v>34424</v>
      </c>
      <c r="N39" s="188">
        <v>41088</v>
      </c>
      <c r="O39" s="188">
        <v>40768.339999999997</v>
      </c>
      <c r="P39" s="188">
        <v>44810.66</v>
      </c>
      <c r="Q39" s="188">
        <v>53623.6</v>
      </c>
      <c r="R39" s="188">
        <v>48124.4</v>
      </c>
      <c r="S39" s="99">
        <f>SUM(G39:R39)</f>
        <v>552783.23200000008</v>
      </c>
      <c r="T39" s="99">
        <v>359238</v>
      </c>
      <c r="U39" s="324"/>
    </row>
    <row r="40" spans="1:21" hidden="1" x14ac:dyDescent="0.3">
      <c r="A40" s="185" t="s">
        <v>1095</v>
      </c>
      <c r="B40" s="96" t="s">
        <v>364</v>
      </c>
      <c r="C40" s="97" t="s">
        <v>865</v>
      </c>
      <c r="D40" s="185" t="s">
        <v>1196</v>
      </c>
      <c r="E40" s="185" t="s">
        <v>1130</v>
      </c>
      <c r="F40" s="187" t="s">
        <v>35</v>
      </c>
      <c r="G40" s="187"/>
      <c r="H40" s="187"/>
      <c r="I40" s="187"/>
      <c r="J40" s="187"/>
      <c r="K40" s="187"/>
      <c r="L40" s="187"/>
      <c r="M40" s="187"/>
      <c r="N40" s="187"/>
      <c r="O40" s="187"/>
      <c r="P40" s="187"/>
      <c r="Q40" s="187"/>
      <c r="R40" s="187"/>
      <c r="S40" s="99">
        <f>SUM(G40:R40)</f>
        <v>0</v>
      </c>
      <c r="T40" s="99">
        <v>0</v>
      </c>
      <c r="U40" s="324"/>
    </row>
    <row r="41" spans="1:21" hidden="1" x14ac:dyDescent="0.3">
      <c r="A41" s="185" t="s">
        <v>456</v>
      </c>
      <c r="B41" s="96" t="s">
        <v>364</v>
      </c>
      <c r="C41" s="97" t="s">
        <v>871</v>
      </c>
      <c r="D41" s="185" t="s">
        <v>1080</v>
      </c>
      <c r="E41" s="185" t="s">
        <v>1130</v>
      </c>
      <c r="F41" s="187" t="s">
        <v>35</v>
      </c>
      <c r="G41" s="188">
        <v>3875</v>
      </c>
      <c r="H41" s="188">
        <v>3600</v>
      </c>
      <c r="I41" s="188">
        <v>4875</v>
      </c>
      <c r="J41" s="188">
        <v>4875</v>
      </c>
      <c r="K41" s="188">
        <v>4361</v>
      </c>
      <c r="L41" s="188">
        <v>4636</v>
      </c>
      <c r="M41" s="188">
        <v>7250</v>
      </c>
      <c r="N41" s="188">
        <v>4538</v>
      </c>
      <c r="O41" s="188">
        <v>6180</v>
      </c>
      <c r="P41" s="188">
        <v>7056</v>
      </c>
      <c r="Q41" s="188">
        <v>8190</v>
      </c>
      <c r="R41" s="188">
        <v>8463</v>
      </c>
      <c r="S41" s="99">
        <f t="shared" si="0"/>
        <v>67899</v>
      </c>
      <c r="T41" s="99">
        <v>80844.44</v>
      </c>
      <c r="U41" s="324" t="e">
        <f>(TblElec[[#This Row],[2024 Total]]+S42)/'2024 Asset list'!I38</f>
        <v>#DIV/0!</v>
      </c>
    </row>
    <row r="42" spans="1:21" hidden="1" x14ac:dyDescent="0.3">
      <c r="A42" s="185" t="s">
        <v>456</v>
      </c>
      <c r="B42" s="96" t="s">
        <v>364</v>
      </c>
      <c r="C42" s="97" t="s">
        <v>871</v>
      </c>
      <c r="D42" s="185" t="s">
        <v>1087</v>
      </c>
      <c r="E42" s="185" t="s">
        <v>1130</v>
      </c>
      <c r="F42" s="187" t="s">
        <v>35</v>
      </c>
      <c r="G42" s="188">
        <v>12530.083000000001</v>
      </c>
      <c r="H42" s="188">
        <v>12530.083000000001</v>
      </c>
      <c r="I42" s="188">
        <v>12530.083000000001</v>
      </c>
      <c r="J42" s="188">
        <v>12530.083000000001</v>
      </c>
      <c r="K42" s="188">
        <v>12530.083000000001</v>
      </c>
      <c r="L42" s="188">
        <v>12530.083000000001</v>
      </c>
      <c r="M42" s="188">
        <v>12530.083000000001</v>
      </c>
      <c r="N42" s="188">
        <v>12530.083000000001</v>
      </c>
      <c r="O42" s="188">
        <v>12530.083000000001</v>
      </c>
      <c r="P42" s="188">
        <v>12530.083000000001</v>
      </c>
      <c r="Q42" s="188">
        <v>12530.083000000001</v>
      </c>
      <c r="R42" s="188">
        <v>12530.083000000001</v>
      </c>
      <c r="S42" s="99">
        <f t="shared" si="0"/>
        <v>150360.99600000001</v>
      </c>
      <c r="T42" s="99">
        <v>161789</v>
      </c>
      <c r="U42" s="324" t="e">
        <f>(TblElec[[#This Row],[2024 Total]]+S43)/'2024 Asset list'!I39</f>
        <v>#DIV/0!</v>
      </c>
    </row>
    <row r="43" spans="1:21" hidden="1" x14ac:dyDescent="0.3">
      <c r="A43" s="185" t="s">
        <v>456</v>
      </c>
      <c r="B43" s="96" t="s">
        <v>364</v>
      </c>
      <c r="C43" s="97" t="s">
        <v>871</v>
      </c>
      <c r="D43" s="185" t="s">
        <v>1082</v>
      </c>
      <c r="E43" s="185" t="s">
        <v>1130</v>
      </c>
      <c r="F43" s="187" t="s">
        <v>35</v>
      </c>
      <c r="G43" s="188">
        <v>3875</v>
      </c>
      <c r="H43" s="188">
        <v>3600</v>
      </c>
      <c r="I43" s="188">
        <v>4875</v>
      </c>
      <c r="J43" s="188">
        <v>4875</v>
      </c>
      <c r="K43" s="188">
        <v>4361</v>
      </c>
      <c r="L43" s="188">
        <v>4636</v>
      </c>
      <c r="M43" s="188">
        <v>7250</v>
      </c>
      <c r="N43" s="188">
        <v>4538</v>
      </c>
      <c r="O43" s="189">
        <v>6180</v>
      </c>
      <c r="P43" s="188">
        <v>7056</v>
      </c>
      <c r="Q43" s="188">
        <v>8190</v>
      </c>
      <c r="R43" s="188">
        <v>8463</v>
      </c>
      <c r="S43" s="99">
        <f t="shared" si="0"/>
        <v>67899</v>
      </c>
      <c r="T43" s="99">
        <f>T41</f>
        <v>80844.44</v>
      </c>
      <c r="U43" s="324" t="e">
        <f>(TblElec[[#This Row],[2024 Total]]+S44)/'2024 Asset list'!I40</f>
        <v>#DIV/0!</v>
      </c>
    </row>
    <row r="44" spans="1:21" hidden="1" x14ac:dyDescent="0.3">
      <c r="A44" s="185" t="s">
        <v>835</v>
      </c>
      <c r="B44" s="96" t="s">
        <v>505</v>
      </c>
      <c r="C44" s="97" t="s">
        <v>865</v>
      </c>
      <c r="D44" s="185" t="s">
        <v>1092</v>
      </c>
      <c r="E44" s="185" t="s">
        <v>1130</v>
      </c>
      <c r="F44" s="187" t="s">
        <v>35</v>
      </c>
      <c r="G44" s="189">
        <v>24155.98</v>
      </c>
      <c r="H44" s="189">
        <v>24155.98</v>
      </c>
      <c r="I44" s="189">
        <v>24155.98</v>
      </c>
      <c r="J44" s="189">
        <v>24155.98</v>
      </c>
      <c r="K44" s="189">
        <v>24155.98</v>
      </c>
      <c r="L44" s="189">
        <v>24155.98</v>
      </c>
      <c r="M44" s="189">
        <v>24155.98</v>
      </c>
      <c r="N44" s="189">
        <v>24155.98</v>
      </c>
      <c r="O44" s="189">
        <v>24155.98</v>
      </c>
      <c r="P44" s="189">
        <v>6294.75</v>
      </c>
      <c r="Q44" s="189">
        <v>6294.75</v>
      </c>
      <c r="R44" s="189">
        <v>6294.75</v>
      </c>
      <c r="S44" s="189">
        <f t="shared" si="0"/>
        <v>236288.07000000004</v>
      </c>
      <c r="T44" s="99">
        <v>289871.76</v>
      </c>
      <c r="U44" s="324" t="e">
        <f>(TblElec[[#This Row],[2024 Total]]+S45)/'2024 Asset list'!I41</f>
        <v>#DIV/0!</v>
      </c>
    </row>
    <row r="45" spans="1:21" hidden="1" x14ac:dyDescent="0.3">
      <c r="A45" s="185" t="s">
        <v>835</v>
      </c>
      <c r="B45" s="96" t="s">
        <v>505</v>
      </c>
      <c r="C45" s="97" t="s">
        <v>865</v>
      </c>
      <c r="D45" s="185" t="s">
        <v>1082</v>
      </c>
      <c r="E45" s="185" t="s">
        <v>1130</v>
      </c>
      <c r="F45" s="187" t="s">
        <v>35</v>
      </c>
      <c r="G45" s="187"/>
      <c r="H45" s="187"/>
      <c r="I45" s="187"/>
      <c r="J45" s="187"/>
      <c r="K45" s="187"/>
      <c r="L45" s="187"/>
      <c r="M45" s="187"/>
      <c r="N45" s="187"/>
      <c r="O45" s="187"/>
      <c r="P45" s="187"/>
      <c r="Q45" s="187"/>
      <c r="R45" s="187"/>
      <c r="S45" s="99">
        <f t="shared" si="0"/>
        <v>0</v>
      </c>
      <c r="T45" s="99">
        <v>0</v>
      </c>
      <c r="U45" s="324" t="e">
        <f>(TblElec[[#This Row],[2024 Total]]+S46)/'2024 Asset list'!I42</f>
        <v>#DIV/0!</v>
      </c>
    </row>
    <row r="46" spans="1:21" hidden="1" x14ac:dyDescent="0.3">
      <c r="A46" s="185" t="s">
        <v>835</v>
      </c>
      <c r="B46" s="96" t="s">
        <v>505</v>
      </c>
      <c r="C46" s="97" t="s">
        <v>865</v>
      </c>
      <c r="D46" s="185" t="s">
        <v>1086</v>
      </c>
      <c r="E46" s="185" t="s">
        <v>1130</v>
      </c>
      <c r="F46" s="187" t="s">
        <v>35</v>
      </c>
      <c r="G46" s="187"/>
      <c r="H46" s="187"/>
      <c r="I46" s="187"/>
      <c r="J46" s="187"/>
      <c r="K46" s="187"/>
      <c r="L46" s="187"/>
      <c r="M46" s="187"/>
      <c r="N46" s="187"/>
      <c r="O46" s="187"/>
      <c r="P46" s="187"/>
      <c r="Q46" s="187"/>
      <c r="R46" s="187"/>
      <c r="S46" s="94">
        <f t="shared" si="0"/>
        <v>0</v>
      </c>
      <c r="T46" s="99">
        <v>289871.76</v>
      </c>
      <c r="U46" s="324" t="e">
        <f>(TblElec[[#This Row],[2024 Total]]+S47)/'2024 Asset list'!I43</f>
        <v>#DIV/0!</v>
      </c>
    </row>
    <row r="47" spans="1:21" hidden="1" x14ac:dyDescent="0.3">
      <c r="A47" s="185" t="s">
        <v>461</v>
      </c>
      <c r="B47" s="96" t="s">
        <v>364</v>
      </c>
      <c r="C47" s="97" t="s">
        <v>865</v>
      </c>
      <c r="D47" s="185" t="s">
        <v>1080</v>
      </c>
      <c r="E47" s="185" t="s">
        <v>1130</v>
      </c>
      <c r="F47" s="187" t="s">
        <v>35</v>
      </c>
      <c r="G47" s="188">
        <v>21007.727999999999</v>
      </c>
      <c r="H47" s="188">
        <v>26747.856</v>
      </c>
      <c r="I47" s="188">
        <v>25850.207999999999</v>
      </c>
      <c r="J47" s="188">
        <v>29270.304</v>
      </c>
      <c r="K47" s="188">
        <v>28614.312000000002</v>
      </c>
      <c r="L47" s="188">
        <v>23017.103999999999</v>
      </c>
      <c r="M47" s="188">
        <v>27462.936000000002</v>
      </c>
      <c r="N47" s="188">
        <v>26191.439999999999</v>
      </c>
      <c r="O47" s="188">
        <v>27161.279999999999</v>
      </c>
      <c r="P47" s="188">
        <v>27590.664000000001</v>
      </c>
      <c r="Q47" s="188">
        <v>26549.856</v>
      </c>
      <c r="R47" s="188">
        <v>25332.864000000001</v>
      </c>
      <c r="S47" s="99">
        <f t="shared" si="0"/>
        <v>314796.55199999997</v>
      </c>
      <c r="T47" s="99">
        <v>267946.152</v>
      </c>
      <c r="U47" s="324" t="e">
        <f>(TblElec[[#This Row],[2024 Total]]+S48)/'2024 Asset list'!I44</f>
        <v>#DIV/0!</v>
      </c>
    </row>
    <row r="48" spans="1:21" hidden="1" x14ac:dyDescent="0.3">
      <c r="A48" s="185" t="s">
        <v>461</v>
      </c>
      <c r="B48" s="96" t="s">
        <v>364</v>
      </c>
      <c r="C48" s="97" t="s">
        <v>865</v>
      </c>
      <c r="D48" s="185" t="s">
        <v>1087</v>
      </c>
      <c r="E48" s="185" t="s">
        <v>1130</v>
      </c>
      <c r="F48" s="187" t="s">
        <v>35</v>
      </c>
      <c r="G48" s="188">
        <v>30955</v>
      </c>
      <c r="H48" s="188">
        <v>30914</v>
      </c>
      <c r="I48" s="188">
        <v>30471</v>
      </c>
      <c r="J48" s="188">
        <v>40670</v>
      </c>
      <c r="K48" s="188">
        <v>40597</v>
      </c>
      <c r="L48" s="188">
        <v>28908</v>
      </c>
      <c r="M48" s="188">
        <v>31289</v>
      </c>
      <c r="N48" s="188">
        <v>29023.5</v>
      </c>
      <c r="O48" s="188">
        <v>29982.5</v>
      </c>
      <c r="P48" s="188">
        <v>34849.5</v>
      </c>
      <c r="Q48" s="188">
        <v>35146.5</v>
      </c>
      <c r="R48" s="188">
        <v>30259.5</v>
      </c>
      <c r="S48" s="99">
        <f>SUM(G48:R48)</f>
        <v>393065.5</v>
      </c>
      <c r="T48" s="99">
        <v>358186.91000000003</v>
      </c>
      <c r="U48" s="324" t="e">
        <f>(TblElec[[#This Row],[2024 Total]]+S49)/'2024 Asset list'!I45</f>
        <v>#DIV/0!</v>
      </c>
    </row>
    <row r="49" spans="1:21" hidden="1" x14ac:dyDescent="0.3">
      <c r="A49" s="185" t="s">
        <v>461</v>
      </c>
      <c r="B49" s="96" t="s">
        <v>364</v>
      </c>
      <c r="C49" s="97" t="s">
        <v>865</v>
      </c>
      <c r="D49" s="185" t="s">
        <v>1082</v>
      </c>
      <c r="E49" s="185" t="s">
        <v>1130</v>
      </c>
      <c r="F49" s="187" t="s">
        <v>35</v>
      </c>
      <c r="G49" s="188">
        <v>21007.727999999999</v>
      </c>
      <c r="H49" s="188">
        <v>26747.856</v>
      </c>
      <c r="I49" s="188">
        <v>25850.207999999999</v>
      </c>
      <c r="J49" s="188">
        <v>29270.304</v>
      </c>
      <c r="K49" s="188">
        <v>28614.312000000002</v>
      </c>
      <c r="L49" s="188">
        <v>23017.103999999999</v>
      </c>
      <c r="M49" s="188">
        <v>27462.936000000002</v>
      </c>
      <c r="N49" s="188">
        <v>26191.439999999999</v>
      </c>
      <c r="O49" s="188">
        <v>27161.279999999999</v>
      </c>
      <c r="P49" s="188">
        <v>27590.664000000001</v>
      </c>
      <c r="Q49" s="188">
        <v>26549.856</v>
      </c>
      <c r="R49" s="188">
        <v>25332.864000000001</v>
      </c>
      <c r="S49" s="99">
        <f t="shared" si="0"/>
        <v>314796.55199999997</v>
      </c>
      <c r="T49" s="99">
        <v>267946.152</v>
      </c>
      <c r="U49" s="324" t="e">
        <f>(TblElec[[#This Row],[2024 Total]]+S50)/'2024 Asset list'!I46</f>
        <v>#DIV/0!</v>
      </c>
    </row>
    <row r="50" spans="1:21" hidden="1" x14ac:dyDescent="0.3">
      <c r="A50" s="185" t="s">
        <v>461</v>
      </c>
      <c r="B50" s="96" t="s">
        <v>364</v>
      </c>
      <c r="C50" s="97" t="s">
        <v>865</v>
      </c>
      <c r="D50" s="185" t="s">
        <v>1086</v>
      </c>
      <c r="E50" s="185" t="s">
        <v>1130</v>
      </c>
      <c r="F50" s="187" t="s">
        <v>35</v>
      </c>
      <c r="G50" s="188">
        <v>30955</v>
      </c>
      <c r="H50" s="188">
        <v>30914</v>
      </c>
      <c r="I50" s="188">
        <v>30471</v>
      </c>
      <c r="J50" s="188">
        <v>40670</v>
      </c>
      <c r="K50" s="188">
        <v>40597</v>
      </c>
      <c r="L50" s="188">
        <v>28908</v>
      </c>
      <c r="M50" s="188">
        <v>31289</v>
      </c>
      <c r="N50" s="188">
        <v>29023.5</v>
      </c>
      <c r="O50" s="188">
        <v>29982.5</v>
      </c>
      <c r="P50" s="188">
        <v>34849.5</v>
      </c>
      <c r="Q50" s="188">
        <v>35146.5</v>
      </c>
      <c r="R50" s="188">
        <v>30259.5</v>
      </c>
      <c r="S50" s="99">
        <f t="shared" si="0"/>
        <v>393065.5</v>
      </c>
      <c r="T50" s="99">
        <v>358186.91000000003</v>
      </c>
      <c r="U50" s="324" t="e">
        <f>(TblElec[[#This Row],[2024 Total]]+S51)/'2024 Asset list'!I47</f>
        <v>#DIV/0!</v>
      </c>
    </row>
    <row r="51" spans="1:21" hidden="1" x14ac:dyDescent="0.3">
      <c r="A51" s="185" t="s">
        <v>462</v>
      </c>
      <c r="B51" s="96" t="s">
        <v>364</v>
      </c>
      <c r="C51" s="97" t="s">
        <v>865</v>
      </c>
      <c r="D51" s="185" t="s">
        <v>1080</v>
      </c>
      <c r="E51" s="185" t="s">
        <v>1130</v>
      </c>
      <c r="F51" s="187" t="s">
        <v>35</v>
      </c>
      <c r="G51" s="188">
        <v>25642.881000000001</v>
      </c>
      <c r="H51" s="188">
        <v>21972.721000000001</v>
      </c>
      <c r="I51" s="188">
        <v>22120</v>
      </c>
      <c r="J51" s="188">
        <v>24234.26</v>
      </c>
      <c r="K51" s="188">
        <v>22238.618999999999</v>
      </c>
      <c r="L51" s="188">
        <v>20736.97</v>
      </c>
      <c r="M51" s="188">
        <v>22476.959999999999</v>
      </c>
      <c r="N51" s="188">
        <v>21687.57</v>
      </c>
      <c r="O51" s="188">
        <v>21670.618999999999</v>
      </c>
      <c r="P51" s="188">
        <v>23551.41</v>
      </c>
      <c r="Q51" s="188">
        <v>24572.528999999999</v>
      </c>
      <c r="R51" s="188">
        <v>19782.400000000001</v>
      </c>
      <c r="S51" s="99">
        <f t="shared" si="0"/>
        <v>270686.93900000001</v>
      </c>
      <c r="T51" s="99">
        <v>375300.86</v>
      </c>
      <c r="U51" s="324" t="e">
        <f>(TblElec[[#This Row],[2024 Total]]+S52)/'2024 Asset list'!I48</f>
        <v>#DIV/0!</v>
      </c>
    </row>
    <row r="52" spans="1:21" hidden="1" x14ac:dyDescent="0.3">
      <c r="A52" s="185" t="s">
        <v>462</v>
      </c>
      <c r="B52" s="96" t="s">
        <v>364</v>
      </c>
      <c r="C52" s="97" t="s">
        <v>865</v>
      </c>
      <c r="D52" s="185" t="s">
        <v>1087</v>
      </c>
      <c r="E52" s="185" t="s">
        <v>1130</v>
      </c>
      <c r="F52" s="187" t="s">
        <v>35</v>
      </c>
      <c r="G52" s="188">
        <v>14424.12</v>
      </c>
      <c r="H52" s="188">
        <v>11319.28</v>
      </c>
      <c r="I52" s="188">
        <v>9480</v>
      </c>
      <c r="J52" s="188">
        <v>8514.74</v>
      </c>
      <c r="K52" s="188">
        <v>9083.3799999999992</v>
      </c>
      <c r="L52" s="188">
        <v>8470.0300000000007</v>
      </c>
      <c r="M52" s="188">
        <v>8741.0400000000009</v>
      </c>
      <c r="N52" s="188">
        <v>8021.43</v>
      </c>
      <c r="O52" s="188">
        <v>8851.3799999999992</v>
      </c>
      <c r="P52" s="188">
        <v>9619.59</v>
      </c>
      <c r="Q52" s="188">
        <v>9088.4699999999993</v>
      </c>
      <c r="R52" s="188">
        <v>11127.6</v>
      </c>
      <c r="S52" s="89">
        <f t="shared" si="0"/>
        <v>116741.06</v>
      </c>
      <c r="T52" s="99">
        <v>305464.7</v>
      </c>
      <c r="U52" s="324" t="e">
        <f>(TblElec[[#This Row],[2024 Total]]+S53)/'2024 Asset list'!I49</f>
        <v>#DIV/0!</v>
      </c>
    </row>
    <row r="53" spans="1:21" hidden="1" x14ac:dyDescent="0.3">
      <c r="A53" s="185" t="s">
        <v>462</v>
      </c>
      <c r="B53" s="96" t="s">
        <v>364</v>
      </c>
      <c r="C53" s="97" t="s">
        <v>865</v>
      </c>
      <c r="D53" s="185" t="s">
        <v>1082</v>
      </c>
      <c r="E53" s="185" t="s">
        <v>1130</v>
      </c>
      <c r="F53" s="187" t="s">
        <v>35</v>
      </c>
      <c r="G53" s="188">
        <v>25642.881000000001</v>
      </c>
      <c r="H53" s="188">
        <v>21972.721000000001</v>
      </c>
      <c r="I53" s="188">
        <v>22120</v>
      </c>
      <c r="J53" s="188">
        <v>24234.26</v>
      </c>
      <c r="K53" s="188">
        <v>22238.618999999999</v>
      </c>
      <c r="L53" s="188">
        <v>20736.97</v>
      </c>
      <c r="M53" s="188">
        <v>22476.959999999999</v>
      </c>
      <c r="N53" s="188">
        <v>21687.57</v>
      </c>
      <c r="O53" s="188">
        <v>21670.618999999999</v>
      </c>
      <c r="P53" s="188">
        <v>23551.41</v>
      </c>
      <c r="Q53" s="188">
        <v>24572.528999999999</v>
      </c>
      <c r="R53" s="188">
        <v>19782.400000000001</v>
      </c>
      <c r="S53" s="99">
        <f t="shared" si="0"/>
        <v>270686.93900000001</v>
      </c>
      <c r="T53" s="99">
        <f>T51</f>
        <v>375300.86</v>
      </c>
      <c r="U53" s="324" t="e">
        <f>(TblElec[[#This Row],[2024 Total]]+S54)/'2024 Asset list'!I50</f>
        <v>#DIV/0!</v>
      </c>
    </row>
    <row r="54" spans="1:21" hidden="1" x14ac:dyDescent="0.3">
      <c r="A54" s="185" t="s">
        <v>462</v>
      </c>
      <c r="B54" s="96" t="s">
        <v>364</v>
      </c>
      <c r="C54" s="97" t="s">
        <v>865</v>
      </c>
      <c r="D54" s="185" t="s">
        <v>1086</v>
      </c>
      <c r="E54" s="185" t="s">
        <v>1130</v>
      </c>
      <c r="F54" s="187" t="s">
        <v>35</v>
      </c>
      <c r="G54" s="188">
        <v>14424.12</v>
      </c>
      <c r="H54" s="188">
        <v>11319.28</v>
      </c>
      <c r="I54" s="188">
        <v>9480</v>
      </c>
      <c r="J54" s="188">
        <v>8514.74</v>
      </c>
      <c r="K54" s="188">
        <v>9083.3799999999992</v>
      </c>
      <c r="L54" s="188">
        <v>8470.0300000000007</v>
      </c>
      <c r="M54" s="188">
        <v>8741.0400000000009</v>
      </c>
      <c r="N54" s="188">
        <v>8021.43</v>
      </c>
      <c r="O54" s="188">
        <v>8851.3799999999992</v>
      </c>
      <c r="P54" s="188">
        <v>9619.59</v>
      </c>
      <c r="Q54" s="188">
        <v>9088.4699999999993</v>
      </c>
      <c r="R54" s="188">
        <v>11127.6</v>
      </c>
      <c r="S54" s="99">
        <f t="shared" si="0"/>
        <v>116741.06</v>
      </c>
      <c r="T54" s="99">
        <v>305464.7</v>
      </c>
      <c r="U54" s="324" t="e">
        <f>(TblElec[[#This Row],[2024 Total]]+S55)/'2024 Asset list'!I51</f>
        <v>#DIV/0!</v>
      </c>
    </row>
    <row r="55" spans="1:21" hidden="1" x14ac:dyDescent="0.3">
      <c r="A55" s="185" t="s">
        <v>1096</v>
      </c>
      <c r="B55" s="96" t="s">
        <v>505</v>
      </c>
      <c r="C55" s="97" t="s">
        <v>872</v>
      </c>
      <c r="D55" s="185" t="s">
        <v>1092</v>
      </c>
      <c r="E55" s="185" t="s">
        <v>1130</v>
      </c>
      <c r="F55" s="187" t="s">
        <v>35</v>
      </c>
      <c r="G55" s="188">
        <v>65844</v>
      </c>
      <c r="H55" s="188">
        <v>63502</v>
      </c>
      <c r="I55" s="188">
        <v>61251</v>
      </c>
      <c r="J55" s="188">
        <v>46100</v>
      </c>
      <c r="K55" s="188">
        <v>41350</v>
      </c>
      <c r="L55" s="188">
        <v>36970</v>
      </c>
      <c r="M55" s="188">
        <v>35445</v>
      </c>
      <c r="N55" s="188">
        <v>34737</v>
      </c>
      <c r="O55" s="188">
        <v>38775</v>
      </c>
      <c r="P55" s="188">
        <v>43737</v>
      </c>
      <c r="Q55" s="188">
        <v>52043</v>
      </c>
      <c r="R55" s="188">
        <v>52728</v>
      </c>
      <c r="S55" s="99">
        <f t="shared" si="0"/>
        <v>572482</v>
      </c>
      <c r="T55" s="99">
        <v>553012.5</v>
      </c>
      <c r="U55" s="324" t="e">
        <f>(TblElec[[#This Row],[2024 Total]]+S56)/'2024 Asset list'!I52</f>
        <v>#DIV/0!</v>
      </c>
    </row>
    <row r="56" spans="1:21" hidden="1" x14ac:dyDescent="0.3">
      <c r="A56" s="185" t="s">
        <v>459</v>
      </c>
      <c r="B56" s="96" t="s">
        <v>364</v>
      </c>
      <c r="C56" s="97" t="s">
        <v>865</v>
      </c>
      <c r="D56" s="185" t="s">
        <v>1080</v>
      </c>
      <c r="E56" s="185" t="s">
        <v>1130</v>
      </c>
      <c r="F56" s="187" t="s">
        <v>35</v>
      </c>
      <c r="G56" s="188">
        <v>37394.351999999999</v>
      </c>
      <c r="H56" s="188">
        <v>33263.735999999997</v>
      </c>
      <c r="I56" s="188">
        <v>35092.872000000003</v>
      </c>
      <c r="J56" s="188">
        <v>37094.832000000002</v>
      </c>
      <c r="K56" s="188">
        <v>39453.192000000003</v>
      </c>
      <c r="L56" s="188">
        <v>35482.175999999999</v>
      </c>
      <c r="M56" s="188">
        <v>38145.216</v>
      </c>
      <c r="N56" s="188">
        <v>38208.239999999998</v>
      </c>
      <c r="O56" s="188">
        <v>40660.660000000003</v>
      </c>
      <c r="P56" s="188">
        <v>40769.17</v>
      </c>
      <c r="Q56" s="188">
        <v>39321.89</v>
      </c>
      <c r="R56" s="188">
        <v>39342.504000000001</v>
      </c>
      <c r="S56" s="99">
        <f t="shared" si="0"/>
        <v>454228.83999999997</v>
      </c>
      <c r="T56" s="99">
        <v>418543.89599999995</v>
      </c>
      <c r="U56" s="324">
        <f>(S56+S57)/'2024 Asset list'!I10</f>
        <v>871.03017319680328</v>
      </c>
    </row>
    <row r="57" spans="1:21" hidden="1" x14ac:dyDescent="0.3">
      <c r="A57" s="185" t="s">
        <v>459</v>
      </c>
      <c r="B57" s="96" t="s">
        <v>364</v>
      </c>
      <c r="C57" s="97" t="s">
        <v>865</v>
      </c>
      <c r="D57" s="185" t="s">
        <v>1087</v>
      </c>
      <c r="E57" s="185" t="s">
        <v>1130</v>
      </c>
      <c r="F57" s="187" t="s">
        <v>35</v>
      </c>
      <c r="G57" s="188">
        <v>41483.25</v>
      </c>
      <c r="H57" s="188">
        <v>40159.294999999998</v>
      </c>
      <c r="I57" s="188">
        <v>37682.01</v>
      </c>
      <c r="J57" s="188">
        <v>67112.623000000007</v>
      </c>
      <c r="K57" s="188">
        <v>66686.148000000001</v>
      </c>
      <c r="L57" s="188">
        <v>64484.873</v>
      </c>
      <c r="M57" s="188">
        <v>68627.418000000005</v>
      </c>
      <c r="N57" s="188">
        <v>67675.612999999998</v>
      </c>
      <c r="O57" s="188">
        <v>66780.232999999993</v>
      </c>
      <c r="P57" s="188">
        <v>72495.929999999993</v>
      </c>
      <c r="Q57" s="188">
        <v>71591.850000000006</v>
      </c>
      <c r="R57" s="188">
        <v>72519.820000000007</v>
      </c>
      <c r="S57" s="99">
        <f t="shared" si="0"/>
        <v>737299.06300000008</v>
      </c>
      <c r="T57" s="99">
        <v>587054.50100000005</v>
      </c>
      <c r="U57" s="324"/>
    </row>
    <row r="58" spans="1:21" hidden="1" x14ac:dyDescent="0.3">
      <c r="A58" s="185" t="s">
        <v>459</v>
      </c>
      <c r="B58" s="96" t="s">
        <v>364</v>
      </c>
      <c r="C58" s="97" t="s">
        <v>865</v>
      </c>
      <c r="D58" s="185" t="s">
        <v>1082</v>
      </c>
      <c r="E58" s="185" t="s">
        <v>1130</v>
      </c>
      <c r="F58" s="187" t="s">
        <v>35</v>
      </c>
      <c r="G58" s="188">
        <v>37394.351999999999</v>
      </c>
      <c r="H58" s="188">
        <v>33263.735999999997</v>
      </c>
      <c r="I58" s="188">
        <v>35092.872000000003</v>
      </c>
      <c r="J58" s="188">
        <v>37094.832000000002</v>
      </c>
      <c r="K58" s="188">
        <v>39453.192000000003</v>
      </c>
      <c r="L58" s="188">
        <v>35482.175999999999</v>
      </c>
      <c r="M58" s="188">
        <v>38145.216</v>
      </c>
      <c r="N58" s="188">
        <v>38208.239999999998</v>
      </c>
      <c r="O58" s="188">
        <v>40660.660000000003</v>
      </c>
      <c r="P58" s="188">
        <v>40769.17</v>
      </c>
      <c r="Q58" s="188">
        <v>39321.89</v>
      </c>
      <c r="R58" s="188">
        <v>39342.504000000001</v>
      </c>
      <c r="S58" s="120">
        <f t="shared" si="0"/>
        <v>454228.83999999997</v>
      </c>
      <c r="T58" s="99">
        <f>T56</f>
        <v>418543.89599999995</v>
      </c>
      <c r="U58" s="324"/>
    </row>
    <row r="59" spans="1:21" hidden="1" x14ac:dyDescent="0.3">
      <c r="A59" s="185" t="s">
        <v>459</v>
      </c>
      <c r="B59" s="96" t="s">
        <v>364</v>
      </c>
      <c r="C59" s="97" t="s">
        <v>865</v>
      </c>
      <c r="D59" s="185" t="s">
        <v>1086</v>
      </c>
      <c r="E59" s="185" t="s">
        <v>1130</v>
      </c>
      <c r="F59" s="187" t="s">
        <v>35</v>
      </c>
      <c r="G59" s="188">
        <v>27458.249980000001</v>
      </c>
      <c r="H59" s="188">
        <v>26134.295010000002</v>
      </c>
      <c r="I59" s="188">
        <v>27607.01</v>
      </c>
      <c r="J59" s="188">
        <v>27278.29002</v>
      </c>
      <c r="K59" s="188">
        <v>27726.814969999999</v>
      </c>
      <c r="L59" s="188">
        <v>25525.539990000001</v>
      </c>
      <c r="M59" s="188">
        <v>27474.82502</v>
      </c>
      <c r="N59" s="188">
        <v>26529.53</v>
      </c>
      <c r="O59" s="188">
        <v>25696.07</v>
      </c>
      <c r="P59" s="188">
        <v>27571.07</v>
      </c>
      <c r="Q59" s="188">
        <v>25961.89</v>
      </c>
      <c r="R59" s="188">
        <v>26502.07</v>
      </c>
      <c r="S59" s="99">
        <f t="shared" si="0"/>
        <v>321465.65499000001</v>
      </c>
      <c r="T59" s="99">
        <v>337122.50099999999</v>
      </c>
      <c r="U59" s="324"/>
    </row>
    <row r="60" spans="1:21" hidden="1" x14ac:dyDescent="0.3">
      <c r="A60" s="185" t="s">
        <v>516</v>
      </c>
      <c r="B60" s="96" t="s">
        <v>505</v>
      </c>
      <c r="C60" s="97" t="s">
        <v>1139</v>
      </c>
      <c r="D60" s="185" t="s">
        <v>1092</v>
      </c>
      <c r="E60" s="185" t="s">
        <v>1130</v>
      </c>
      <c r="F60" s="187" t="s">
        <v>35</v>
      </c>
      <c r="G60" s="189">
        <v>42078.04</v>
      </c>
      <c r="H60" s="189">
        <v>42078.04</v>
      </c>
      <c r="I60" s="189">
        <v>42078.04</v>
      </c>
      <c r="J60" s="189">
        <v>42078.04</v>
      </c>
      <c r="K60" s="189">
        <v>42078.04</v>
      </c>
      <c r="L60" s="189">
        <v>42078.04</v>
      </c>
      <c r="M60" s="189">
        <v>42078.04</v>
      </c>
      <c r="N60" s="189">
        <v>42078.04</v>
      </c>
      <c r="O60" s="189">
        <v>42078.04</v>
      </c>
      <c r="P60" s="189">
        <v>42078.04</v>
      </c>
      <c r="Q60" s="189">
        <v>42078.04</v>
      </c>
      <c r="R60" s="189">
        <v>42078.04</v>
      </c>
      <c r="S60" s="227">
        <f t="shared" si="0"/>
        <v>504936.47999999992</v>
      </c>
      <c r="T60" s="231">
        <v>41187.576000000001</v>
      </c>
      <c r="U60" s="324" t="e">
        <f>(TblElec[[#This Row],[2024 Total]]+S61)/'2024 Asset list'!I57</f>
        <v>#DIV/0!</v>
      </c>
    </row>
    <row r="61" spans="1:21" hidden="1" x14ac:dyDescent="0.3">
      <c r="A61" s="185" t="s">
        <v>836</v>
      </c>
      <c r="B61" s="96" t="s">
        <v>364</v>
      </c>
      <c r="C61" s="97" t="s">
        <v>871</v>
      </c>
      <c r="D61" s="185" t="s">
        <v>1087</v>
      </c>
      <c r="E61" s="185" t="s">
        <v>1130</v>
      </c>
      <c r="F61" s="187" t="s">
        <v>35</v>
      </c>
      <c r="G61" s="188">
        <v>1743.0830000000001</v>
      </c>
      <c r="H61" s="188">
        <v>1743.0830000000001</v>
      </c>
      <c r="I61" s="188">
        <v>1743.0830000000001</v>
      </c>
      <c r="J61" s="188">
        <v>1743.0830000000001</v>
      </c>
      <c r="K61" s="188">
        <v>1743.0830000000001</v>
      </c>
      <c r="L61" s="188">
        <v>1743.0830000000001</v>
      </c>
      <c r="M61" s="188">
        <v>1743.0830000000001</v>
      </c>
      <c r="N61" s="188">
        <v>1743.0830000000001</v>
      </c>
      <c r="O61" s="188">
        <v>1743.0830000000001</v>
      </c>
      <c r="P61" s="188">
        <v>1743.0830000000001</v>
      </c>
      <c r="Q61" s="188">
        <v>1743.0830000000001</v>
      </c>
      <c r="R61" s="188">
        <v>1743.0830000000001</v>
      </c>
      <c r="S61" s="121">
        <f>SUM(G61:R61)</f>
        <v>20916.995999999999</v>
      </c>
      <c r="T61" s="99"/>
      <c r="U61" s="324" t="e">
        <f>(TblElec[[#This Row],[2024 Total]]+S62)/'2024 Asset list'!I58</f>
        <v>#DIV/0!</v>
      </c>
    </row>
    <row r="62" spans="1:21" hidden="1" x14ac:dyDescent="0.3">
      <c r="A62" s="185" t="s">
        <v>836</v>
      </c>
      <c r="B62" s="96" t="s">
        <v>364</v>
      </c>
      <c r="C62" s="97" t="s">
        <v>871</v>
      </c>
      <c r="D62" s="185" t="s">
        <v>1092</v>
      </c>
      <c r="E62" s="185" t="s">
        <v>1130</v>
      </c>
      <c r="F62" s="187" t="s">
        <v>35</v>
      </c>
      <c r="G62" s="188">
        <v>6959</v>
      </c>
      <c r="H62" s="188">
        <v>2874</v>
      </c>
      <c r="I62" s="188">
        <v>4953</v>
      </c>
      <c r="J62" s="188">
        <v>2620</v>
      </c>
      <c r="K62" s="188">
        <v>2090</v>
      </c>
      <c r="L62" s="188">
        <v>1064</v>
      </c>
      <c r="M62" s="188">
        <v>884</v>
      </c>
      <c r="N62" s="188">
        <v>729</v>
      </c>
      <c r="O62" s="188">
        <v>1294</v>
      </c>
      <c r="P62" s="188">
        <v>1900</v>
      </c>
      <c r="Q62" s="188">
        <v>2727</v>
      </c>
      <c r="R62" s="188">
        <v>3212</v>
      </c>
      <c r="S62" s="121">
        <f t="shared" si="0"/>
        <v>31306</v>
      </c>
      <c r="T62" s="99">
        <v>210182</v>
      </c>
      <c r="U62" s="324" t="e">
        <f>(TblElec[[#This Row],[2024 Total]]+S63)/'2024 Asset list'!I59</f>
        <v>#DIV/0!</v>
      </c>
    </row>
    <row r="63" spans="1:21" hidden="1" x14ac:dyDescent="0.3">
      <c r="A63" s="185" t="s">
        <v>1097</v>
      </c>
      <c r="B63" s="96" t="s">
        <v>505</v>
      </c>
      <c r="C63" s="97" t="s">
        <v>865</v>
      </c>
      <c r="D63" s="185" t="s">
        <v>1092</v>
      </c>
      <c r="E63" s="185" t="s">
        <v>1130</v>
      </c>
      <c r="F63" s="187" t="s">
        <v>35</v>
      </c>
      <c r="G63" s="188">
        <v>86990</v>
      </c>
      <c r="H63" s="188">
        <v>111790</v>
      </c>
      <c r="I63" s="188">
        <v>68990</v>
      </c>
      <c r="J63" s="188">
        <v>104370</v>
      </c>
      <c r="K63" s="188">
        <v>80240</v>
      </c>
      <c r="L63" s="188">
        <v>134950</v>
      </c>
      <c r="M63" s="188">
        <v>98490</v>
      </c>
      <c r="N63" s="188">
        <v>188530</v>
      </c>
      <c r="O63" s="188">
        <v>102650</v>
      </c>
      <c r="P63" s="188">
        <v>111220</v>
      </c>
      <c r="Q63" s="188">
        <v>113890</v>
      </c>
      <c r="R63" s="188">
        <v>92440</v>
      </c>
      <c r="S63" s="128">
        <f>SUM(G63:R63)</f>
        <v>1294550</v>
      </c>
      <c r="T63" s="99">
        <v>907480</v>
      </c>
      <c r="U63" s="324">
        <f>TblElec[[#This Row],[2024 Total]]/'2024 Asset list'!I18</f>
        <v>206.81410995276028</v>
      </c>
    </row>
    <row r="64" spans="1:21" hidden="1" x14ac:dyDescent="0.3">
      <c r="A64" s="96" t="s">
        <v>1097</v>
      </c>
      <c r="B64" s="96" t="s">
        <v>505</v>
      </c>
      <c r="C64" s="97" t="s">
        <v>865</v>
      </c>
      <c r="D64" s="185" t="s">
        <v>1082</v>
      </c>
      <c r="E64" s="185" t="s">
        <v>1130</v>
      </c>
      <c r="F64" s="187" t="s">
        <v>35</v>
      </c>
      <c r="G64" s="187"/>
      <c r="H64" s="187"/>
      <c r="I64" s="187"/>
      <c r="J64" s="187"/>
      <c r="K64" s="187"/>
      <c r="L64" s="187"/>
      <c r="M64" s="187"/>
      <c r="N64" s="187"/>
      <c r="O64" s="187"/>
      <c r="P64" s="187"/>
      <c r="Q64" s="187"/>
      <c r="R64" s="187"/>
      <c r="S64" s="99">
        <f t="shared" ref="S64:S66" si="2">SUM(G64:R64)</f>
        <v>0</v>
      </c>
      <c r="T64" s="99"/>
      <c r="U64" s="324"/>
    </row>
    <row r="65" spans="1:21" hidden="1" x14ac:dyDescent="0.3">
      <c r="A65" s="96" t="s">
        <v>1097</v>
      </c>
      <c r="B65" s="96" t="s">
        <v>505</v>
      </c>
      <c r="C65" s="97" t="s">
        <v>865</v>
      </c>
      <c r="D65" s="185" t="s">
        <v>1086</v>
      </c>
      <c r="E65" s="185" t="s">
        <v>1130</v>
      </c>
      <c r="F65" s="187" t="s">
        <v>35</v>
      </c>
      <c r="G65" s="188">
        <v>86990</v>
      </c>
      <c r="H65" s="188">
        <v>111790</v>
      </c>
      <c r="I65" s="188">
        <v>68990</v>
      </c>
      <c r="J65" s="188">
        <v>104370</v>
      </c>
      <c r="K65" s="188">
        <v>80240</v>
      </c>
      <c r="L65" s="188">
        <v>134950</v>
      </c>
      <c r="M65" s="188">
        <v>98490</v>
      </c>
      <c r="N65" s="188">
        <v>188530</v>
      </c>
      <c r="O65" s="188">
        <v>102650</v>
      </c>
      <c r="P65" s="188">
        <v>111220</v>
      </c>
      <c r="Q65" s="188">
        <v>113890</v>
      </c>
      <c r="R65" s="188">
        <v>92440</v>
      </c>
      <c r="S65" s="99">
        <f t="shared" si="2"/>
        <v>1294550</v>
      </c>
      <c r="T65" s="99">
        <v>907480</v>
      </c>
      <c r="U65" s="324"/>
    </row>
    <row r="66" spans="1:21" hidden="1" x14ac:dyDescent="0.3">
      <c r="A66" s="103" t="s">
        <v>839</v>
      </c>
      <c r="B66" s="96" t="s">
        <v>505</v>
      </c>
      <c r="C66" s="97" t="s">
        <v>865</v>
      </c>
      <c r="D66" s="185" t="s">
        <v>1092</v>
      </c>
      <c r="E66" s="185" t="s">
        <v>1130</v>
      </c>
      <c r="F66" s="187" t="s">
        <v>35</v>
      </c>
      <c r="G66" s="188">
        <v>2560.66</v>
      </c>
      <c r="H66" s="188">
        <v>2560.66</v>
      </c>
      <c r="I66" s="188">
        <v>2560.66</v>
      </c>
      <c r="J66" s="188">
        <v>4762</v>
      </c>
      <c r="K66" s="188">
        <v>4762</v>
      </c>
      <c r="L66" s="188">
        <v>4762</v>
      </c>
      <c r="M66" s="188">
        <v>4945</v>
      </c>
      <c r="N66" s="188">
        <v>4945</v>
      </c>
      <c r="O66" s="188">
        <v>4945</v>
      </c>
      <c r="P66" s="188">
        <v>7123</v>
      </c>
      <c r="Q66" s="188">
        <v>7123</v>
      </c>
      <c r="R66" s="188">
        <v>7123</v>
      </c>
      <c r="S66" s="186">
        <f t="shared" si="2"/>
        <v>58171.979999999996</v>
      </c>
      <c r="T66" s="99">
        <v>36089</v>
      </c>
      <c r="U66" s="324">
        <f>TblElec[[#This Row],[2024 Total]]/'2024 Asset list'!I16</f>
        <v>11.190500998095905</v>
      </c>
    </row>
    <row r="67" spans="1:21" hidden="1" x14ac:dyDescent="0.3">
      <c r="A67" s="103" t="s">
        <v>514</v>
      </c>
      <c r="B67" s="96" t="s">
        <v>505</v>
      </c>
      <c r="C67" s="97" t="s">
        <v>865</v>
      </c>
      <c r="D67" s="185" t="s">
        <v>1092</v>
      </c>
      <c r="E67" s="185" t="s">
        <v>1130</v>
      </c>
      <c r="F67" s="187" t="s">
        <v>35</v>
      </c>
      <c r="G67" s="189">
        <v>13670.416999999999</v>
      </c>
      <c r="H67" s="189">
        <v>3186.85</v>
      </c>
      <c r="I67" s="189">
        <v>14089</v>
      </c>
      <c r="J67" s="189">
        <v>10334.15</v>
      </c>
      <c r="K67" s="189">
        <v>12158</v>
      </c>
      <c r="L67" s="189">
        <v>11893.5</v>
      </c>
      <c r="M67" s="189">
        <v>6526.5</v>
      </c>
      <c r="N67" s="189">
        <v>9487</v>
      </c>
      <c r="O67" s="189">
        <v>9487</v>
      </c>
      <c r="P67" s="189">
        <v>8633.5</v>
      </c>
      <c r="Q67" s="189">
        <v>12172</v>
      </c>
      <c r="R67" s="189">
        <v>13032.5</v>
      </c>
      <c r="S67" s="189">
        <f>SUM(G67:R67)</f>
        <v>124670.417</v>
      </c>
      <c r="T67" s="99">
        <v>111000</v>
      </c>
      <c r="U67" s="324" t="e">
        <f>(TblElec[[#This Row],[2024 Total]]+S68)/'2024 Asset list'!I64</f>
        <v>#DIV/0!</v>
      </c>
    </row>
    <row r="68" spans="1:21" hidden="1" x14ac:dyDescent="0.3">
      <c r="A68" s="96" t="s">
        <v>837</v>
      </c>
      <c r="B68" s="96" t="s">
        <v>364</v>
      </c>
      <c r="C68" s="97" t="s">
        <v>871</v>
      </c>
      <c r="D68" s="185" t="s">
        <v>1080</v>
      </c>
      <c r="E68" s="185" t="s">
        <v>1130</v>
      </c>
      <c r="F68" s="187" t="s">
        <v>35</v>
      </c>
      <c r="G68" s="188">
        <v>7546</v>
      </c>
      <c r="H68" s="188">
        <v>5214</v>
      </c>
      <c r="I68" s="188">
        <v>6479</v>
      </c>
      <c r="J68" s="188">
        <v>6701</v>
      </c>
      <c r="K68" s="188">
        <v>6379</v>
      </c>
      <c r="L68" s="188">
        <v>5999</v>
      </c>
      <c r="M68" s="188">
        <v>6939</v>
      </c>
      <c r="N68" s="188">
        <v>7396</v>
      </c>
      <c r="O68" s="188">
        <v>7467</v>
      </c>
      <c r="P68" s="188">
        <v>7565</v>
      </c>
      <c r="Q68" s="188">
        <v>7984</v>
      </c>
      <c r="R68" s="188">
        <v>8565</v>
      </c>
      <c r="S68" s="99">
        <f t="shared" ref="S68:S69" si="3">SUM(G68:R68)</f>
        <v>84234</v>
      </c>
      <c r="T68" s="99">
        <v>151679</v>
      </c>
      <c r="U68" s="324" t="e">
        <f>(TblElec[[#This Row],[2024 Total]]+S69)/'2024 Asset list'!I65</f>
        <v>#DIV/0!</v>
      </c>
    </row>
    <row r="69" spans="1:21" hidden="1" x14ac:dyDescent="0.3">
      <c r="A69" s="103" t="s">
        <v>837</v>
      </c>
      <c r="B69" s="96" t="s">
        <v>364</v>
      </c>
      <c r="C69" s="97" t="s">
        <v>871</v>
      </c>
      <c r="D69" s="185" t="s">
        <v>1087</v>
      </c>
      <c r="E69" s="185" t="s">
        <v>1130</v>
      </c>
      <c r="F69" s="187" t="s">
        <v>35</v>
      </c>
      <c r="G69" s="189">
        <v>40506.758999999998</v>
      </c>
      <c r="H69" s="189">
        <v>40506.758999999998</v>
      </c>
      <c r="I69" s="189">
        <v>40506.758999999998</v>
      </c>
      <c r="J69" s="189">
        <v>40506.758999999998</v>
      </c>
      <c r="K69" s="189">
        <v>40506.758999999998</v>
      </c>
      <c r="L69" s="189">
        <v>40506.758999999998</v>
      </c>
      <c r="M69" s="189">
        <v>40506.758999999998</v>
      </c>
      <c r="N69" s="189">
        <v>40506.758999999998</v>
      </c>
      <c r="O69" s="189">
        <v>40506.758999999998</v>
      </c>
      <c r="P69" s="189">
        <v>40506.758999999998</v>
      </c>
      <c r="Q69" s="189">
        <v>40506.758999999998</v>
      </c>
      <c r="R69" s="189">
        <v>40506.758999999998</v>
      </c>
      <c r="S69" s="189">
        <f t="shared" si="3"/>
        <v>486081.10800000007</v>
      </c>
      <c r="T69" s="99">
        <v>108504.75</v>
      </c>
      <c r="U69" s="324" t="e">
        <f>(TblElec[[#This Row],[2024 Total]]+S70)/'2024 Asset list'!I66</f>
        <v>#DIV/0!</v>
      </c>
    </row>
    <row r="70" spans="1:21" hidden="1" x14ac:dyDescent="0.3">
      <c r="A70" s="103" t="s">
        <v>837</v>
      </c>
      <c r="B70" s="96" t="s">
        <v>364</v>
      </c>
      <c r="C70" s="97" t="s">
        <v>871</v>
      </c>
      <c r="D70" s="185" t="s">
        <v>1082</v>
      </c>
      <c r="E70" s="185" t="s">
        <v>1130</v>
      </c>
      <c r="F70" s="187" t="s">
        <v>35</v>
      </c>
      <c r="G70" s="188">
        <v>7546</v>
      </c>
      <c r="H70" s="188">
        <v>5214</v>
      </c>
      <c r="I70" s="188">
        <v>6479</v>
      </c>
      <c r="J70" s="188">
        <v>6701</v>
      </c>
      <c r="K70" s="188">
        <v>6379</v>
      </c>
      <c r="L70" s="188">
        <v>5999</v>
      </c>
      <c r="M70" s="188">
        <v>6939</v>
      </c>
      <c r="N70" s="188">
        <v>7396</v>
      </c>
      <c r="O70" s="188">
        <v>7467</v>
      </c>
      <c r="P70" s="188">
        <v>7565</v>
      </c>
      <c r="Q70" s="188">
        <v>7984</v>
      </c>
      <c r="R70" s="188">
        <v>8565</v>
      </c>
      <c r="S70" s="186">
        <f>SUM(G70:R70)</f>
        <v>84234</v>
      </c>
      <c r="T70" s="186">
        <v>151679</v>
      </c>
      <c r="U70" s="326" t="e">
        <f>(TblElec[[#This Row],[2024 Total]]+S71)/'2024 Asset list'!I67</f>
        <v>#DIV/0!</v>
      </c>
    </row>
    <row r="71" spans="1:21" x14ac:dyDescent="0.3">
      <c r="T71" s="209"/>
    </row>
    <row r="72" spans="1:21" x14ac:dyDescent="0.3">
      <c r="R72" s="273"/>
      <c r="S72" s="273"/>
      <c r="T72" s="209"/>
    </row>
    <row r="73" spans="1:21" x14ac:dyDescent="0.3">
      <c r="Q73" s="264" t="s">
        <v>614</v>
      </c>
      <c r="R73" s="274" t="s">
        <v>1080</v>
      </c>
      <c r="S73" s="275">
        <f>SUMIF(TblElec[Source], "Electric Power - Shared Services", TblElec[2024 Total])</f>
        <v>2374659.3459999999</v>
      </c>
      <c r="T73" s="275">
        <f>SUMIF(TblElec[Source], "Electric Power - Shared Services", TblElec[2023 Total])</f>
        <v>2565691.9419999998</v>
      </c>
    </row>
    <row r="74" spans="1:21" x14ac:dyDescent="0.3">
      <c r="Q74" s="191"/>
      <c r="R74" s="185" t="s">
        <v>1087</v>
      </c>
      <c r="S74" s="276">
        <f>SUMIF(TblElec[Source], "Electric Power - Tenant Space (Tenant Control)", TblElec[2024 Total])</f>
        <v>4660486.8640000001</v>
      </c>
      <c r="T74" s="276">
        <f>SUMIF(TblElec[Source], "Electric Power - Tenant Space (Tenant Control)", TblElec[2023 Total])</f>
        <v>4086007.6810000003</v>
      </c>
    </row>
    <row r="75" spans="1:21" ht="11.85" customHeight="1" x14ac:dyDescent="0.3">
      <c r="Q75" s="191"/>
      <c r="R75" s="89" t="s">
        <v>1092</v>
      </c>
      <c r="S75" s="276">
        <f>SUMIF(TblElec[Source], "Electric Power - Whole Building (Tenant Control)", TblElec[2024 Total])</f>
        <v>3042080.9550000001</v>
      </c>
      <c r="T75" s="276">
        <f>SUMIF(TblElec[Source], "Electric Power - Whole Building (Tenant Control)", TblElec[2023 Total])</f>
        <v>2168052.4160000002</v>
      </c>
    </row>
    <row r="76" spans="1:21" x14ac:dyDescent="0.3">
      <c r="Q76" s="191"/>
      <c r="R76" s="273"/>
      <c r="S76" s="277"/>
      <c r="T76" s="277"/>
    </row>
    <row r="77" spans="1:21" x14ac:dyDescent="0.3">
      <c r="Q77" s="191"/>
      <c r="R77" s="273"/>
      <c r="S77" s="277"/>
      <c r="T77" s="277"/>
    </row>
    <row r="78" spans="1:21" x14ac:dyDescent="0.3">
      <c r="Q78" s="191"/>
      <c r="R78" s="273" t="s">
        <v>1192</v>
      </c>
      <c r="S78" s="278">
        <f>SUM(S73:S75)</f>
        <v>10077227.164999999</v>
      </c>
      <c r="T78" s="278">
        <f>SUM(T73:T75)</f>
        <v>8819752.0390000008</v>
      </c>
    </row>
    <row r="79" spans="1:21" x14ac:dyDescent="0.3">
      <c r="Q79" s="191"/>
      <c r="S79" s="192"/>
      <c r="T79" s="192"/>
    </row>
    <row r="80" spans="1:21" x14ac:dyDescent="0.3">
      <c r="Q80" s="191"/>
      <c r="S80" s="192"/>
      <c r="T80" s="192"/>
    </row>
    <row r="81" spans="17:20" x14ac:dyDescent="0.3">
      <c r="Q81" s="191"/>
      <c r="S81" s="192"/>
      <c r="T81" s="192"/>
    </row>
    <row r="82" spans="17:20" x14ac:dyDescent="0.3">
      <c r="Q82" s="191"/>
      <c r="S82" s="192"/>
      <c r="T82" s="192"/>
    </row>
    <row r="83" spans="17:20" x14ac:dyDescent="0.3">
      <c r="Q83" s="191"/>
      <c r="R83" s="89" t="s">
        <v>1082</v>
      </c>
      <c r="S83" s="276">
        <f>SUMIF(TblElec[Source], "Renewable Power - Offsite", TblElec[2024 Total])</f>
        <v>2374659.3459999999</v>
      </c>
      <c r="T83" s="276">
        <f>SUMIF(TblElec[Source], "Renewable Power - Offsite", TblElec[2023 Total])</f>
        <v>2565691.9419999998</v>
      </c>
    </row>
    <row r="84" spans="17:20" x14ac:dyDescent="0.3">
      <c r="Q84" s="191"/>
      <c r="R84" s="89" t="s">
        <v>1086</v>
      </c>
      <c r="S84" s="276">
        <f>SUMIF(TblElec[Source], "Renewable Power - Offsite - Tenant", TblElec[2024 Total])</f>
        <v>4273182.3569900002</v>
      </c>
      <c r="T84" s="276">
        <f>SUMIF(TblElec[Source], "Renewable Power - Offsite - Tenant", TblElec[2023 Total])</f>
        <v>3704720.1910000001</v>
      </c>
    </row>
    <row r="85" spans="17:20" x14ac:dyDescent="0.3">
      <c r="Q85" s="191"/>
      <c r="S85" s="192"/>
      <c r="T85" s="192"/>
    </row>
    <row r="86" spans="17:20" x14ac:dyDescent="0.3">
      <c r="Q86" s="191"/>
      <c r="R86" s="273" t="s">
        <v>1195</v>
      </c>
      <c r="S86" s="278">
        <f>SUM(S83:S84)</f>
        <v>6647841.7029900001</v>
      </c>
      <c r="T86" s="278">
        <f>SUM(T83:T84)</f>
        <v>6270412.1329999994</v>
      </c>
    </row>
    <row r="87" spans="17:20" x14ac:dyDescent="0.3">
      <c r="Q87" s="191"/>
      <c r="S87" s="192"/>
      <c r="T87" s="192"/>
    </row>
    <row r="88" spans="17:20" x14ac:dyDescent="0.3">
      <c r="Q88" s="191"/>
      <c r="R88" s="89" t="s">
        <v>1196</v>
      </c>
      <c r="S88" s="276">
        <f>SUMIF(TblElec[Source], "Renewable Power - Onsite", TblElec[2024 Total])</f>
        <v>48562.913</v>
      </c>
      <c r="T88" s="276">
        <f>SUMIF(TblElec[Source], "Renewable Power - Onsite", TblElec[2023 Total])</f>
        <v>49153.549999999996</v>
      </c>
    </row>
    <row r="89" spans="17:20" x14ac:dyDescent="0.3">
      <c r="Q89" s="191"/>
      <c r="S89" s="192"/>
      <c r="T89" s="192"/>
    </row>
    <row r="90" spans="17:20" x14ac:dyDescent="0.3">
      <c r="Q90" s="191"/>
      <c r="R90" s="273" t="s">
        <v>1197</v>
      </c>
      <c r="S90" s="278">
        <f>S88</f>
        <v>48562.913</v>
      </c>
      <c r="T90" s="278">
        <f>T88</f>
        <v>49153.549999999996</v>
      </c>
    </row>
    <row r="91" spans="17:20" x14ac:dyDescent="0.3">
      <c r="Q91" s="191"/>
      <c r="S91" s="192"/>
      <c r="T91" s="192"/>
    </row>
    <row r="92" spans="17:20" x14ac:dyDescent="0.3">
      <c r="Q92" s="191"/>
      <c r="S92" s="192"/>
      <c r="T92" s="192"/>
    </row>
    <row r="93" spans="17:20" x14ac:dyDescent="0.3">
      <c r="Q93" s="191"/>
      <c r="S93" s="192"/>
      <c r="T93" s="192"/>
    </row>
    <row r="94" spans="17:20" x14ac:dyDescent="0.3">
      <c r="Q94" s="191"/>
      <c r="S94" s="192"/>
      <c r="T94" s="192"/>
    </row>
    <row r="95" spans="17:20" x14ac:dyDescent="0.3">
      <c r="Q95" s="193"/>
      <c r="R95" s="195"/>
      <c r="S95" s="194"/>
      <c r="T95" s="194"/>
    </row>
    <row r="97" spans="3:20" x14ac:dyDescent="0.3">
      <c r="Q97" s="264" t="s">
        <v>624</v>
      </c>
      <c r="R97" s="274" t="s">
        <v>1080</v>
      </c>
      <c r="S97" s="275">
        <f>SUMIFS(TblElec[2024 Total], TblElec[Office/resi], "Office", TblElec[Source], "Electric Power - Shared Services", TblElec[Managed], "yes")</f>
        <v>2222526.3459999999</v>
      </c>
      <c r="T97" s="275">
        <f>SUMIFS(TblElec[2023 Total], TblElec[Office/resi], "Office", TblElec[Source], "Electric Power - Shared Services", TblElec[Managed], "yes")</f>
        <v>2333168.5020000003</v>
      </c>
    </row>
    <row r="98" spans="3:20" x14ac:dyDescent="0.3">
      <c r="Q98" s="191"/>
      <c r="R98" s="185" t="s">
        <v>1087</v>
      </c>
      <c r="S98" s="275">
        <f>SUMIFS(TblElec[2024 Total], TblElec[Office/resi], "Office", TblElec[Source], "Electric Power - Tenant Space (Tenant Control)", TblElec[Managed], "yes")</f>
        <v>4003127.764</v>
      </c>
      <c r="T98" s="275">
        <f>SUMIFS(TblElec[2023 Total], TblElec[Office/resi], "Office", TblElec[Source], "Electric Power - Tenant Space (Tenant Control)", TblElec[Managed], "yes")</f>
        <v>3815713.9310000003</v>
      </c>
    </row>
    <row r="99" spans="3:20" x14ac:dyDescent="0.3">
      <c r="Q99" s="191"/>
      <c r="R99" s="273"/>
      <c r="S99" s="277"/>
      <c r="T99" s="277"/>
    </row>
    <row r="100" spans="3:20" x14ac:dyDescent="0.3">
      <c r="Q100" s="191"/>
      <c r="R100" s="273"/>
      <c r="S100" s="277"/>
      <c r="T100" s="277"/>
    </row>
    <row r="101" spans="3:20" x14ac:dyDescent="0.3">
      <c r="Q101" s="191"/>
      <c r="R101" s="273" t="s">
        <v>1192</v>
      </c>
      <c r="S101" s="278">
        <f>SUM(S97:S98)</f>
        <v>6225654.1099999994</v>
      </c>
      <c r="T101" s="278">
        <f>SUM(T97:T98)</f>
        <v>6148882.4330000002</v>
      </c>
    </row>
    <row r="102" spans="3:20" x14ac:dyDescent="0.3">
      <c r="Q102" s="191"/>
      <c r="S102" s="192"/>
      <c r="T102" s="192"/>
    </row>
    <row r="103" spans="3:20" x14ac:dyDescent="0.3">
      <c r="Q103" s="191"/>
      <c r="S103" s="192"/>
      <c r="T103" s="192"/>
    </row>
    <row r="104" spans="3:20" x14ac:dyDescent="0.3">
      <c r="Q104" s="191"/>
      <c r="S104" s="192"/>
      <c r="T104" s="192"/>
    </row>
    <row r="105" spans="3:20" x14ac:dyDescent="0.3">
      <c r="Q105" s="191"/>
      <c r="S105" s="192"/>
      <c r="T105" s="192"/>
    </row>
    <row r="106" spans="3:20" x14ac:dyDescent="0.3">
      <c r="Q106" s="191"/>
      <c r="R106" s="89" t="s">
        <v>1082</v>
      </c>
      <c r="S106" s="275">
        <f>SUMIFS(TblElec[2024 Total], TblElec[Office/resi], "Office", TblElec[Source], "Renewable Power - Offsite", TblElec[Managed], "yes")</f>
        <v>2222526.3459999999</v>
      </c>
      <c r="T106" s="275">
        <f>SUMIFS(TblElec[2023 Total], TblElec[Office/resi], "Office", TblElec[Source], "Renewable Power - Offsite", TblElec[Managed], "yes")</f>
        <v>2333168.5020000003</v>
      </c>
    </row>
    <row r="107" spans="3:20" x14ac:dyDescent="0.3">
      <c r="Q107" s="191"/>
      <c r="R107" s="89" t="s">
        <v>1086</v>
      </c>
      <c r="S107" s="275">
        <f>SUMIFS(TblElec[2024 Total], TblElec[Office/resi], "Office", TblElec[Source], "Renewable Power - Offsite - Tenant", TblElec[Managed], "yes")</f>
        <v>2978632.3569900002</v>
      </c>
      <c r="T107" s="275">
        <f>SUMIFS(TblElec[2023 Total], TblElec[Office/resi], "Office", TblElec[Source], "Renewable Power - Offsite - Tenant", TblElec[Managed], "yes")</f>
        <v>2507368.4310000003</v>
      </c>
    </row>
    <row r="108" spans="3:20" x14ac:dyDescent="0.3">
      <c r="C108" s="89">
        <v>2222526.3459999999</v>
      </c>
      <c r="Q108" s="191"/>
      <c r="S108" s="192"/>
      <c r="T108" s="192"/>
    </row>
    <row r="109" spans="3:20" x14ac:dyDescent="0.3">
      <c r="C109" s="89">
        <v>48562.913</v>
      </c>
      <c r="Q109" s="191"/>
      <c r="R109" s="273" t="s">
        <v>1195</v>
      </c>
      <c r="S109" s="278">
        <f>SUM(S106:S107)</f>
        <v>5201158.7029900001</v>
      </c>
      <c r="T109" s="278">
        <f>SUM(T106:T107)</f>
        <v>4840536.9330000002</v>
      </c>
    </row>
    <row r="110" spans="3:20" x14ac:dyDescent="0.3">
      <c r="Q110" s="191"/>
      <c r="S110" s="192"/>
      <c r="T110" s="192"/>
    </row>
    <row r="111" spans="3:20" x14ac:dyDescent="0.3">
      <c r="Q111" s="191"/>
      <c r="R111" s="89" t="s">
        <v>1196</v>
      </c>
      <c r="S111" s="275">
        <f>SUMIFS(TblElec[2024 Total], TblElec[Office/resi], "Office", TblElec[Source], "Renewable Power - Onsite", TblElec[Managed], "yes")</f>
        <v>48562.913</v>
      </c>
      <c r="T111" s="275">
        <f>SUMIFS(TblElec[2023 Total], TblElec[Office/resi], "Office", TblElec[Source], "Renewable Power - Onsite", TblElec[Managed], "yes")</f>
        <v>49153.549999999996</v>
      </c>
    </row>
    <row r="112" spans="3:20" x14ac:dyDescent="0.3">
      <c r="Q112" s="191"/>
      <c r="S112" s="192"/>
      <c r="T112" s="192"/>
    </row>
    <row r="113" spans="17:20" x14ac:dyDescent="0.3">
      <c r="Q113" s="191"/>
      <c r="R113" s="273" t="s">
        <v>1197</v>
      </c>
      <c r="S113" s="278">
        <f>S111</f>
        <v>48562.913</v>
      </c>
      <c r="T113" s="278">
        <f>T111</f>
        <v>49153.549999999996</v>
      </c>
    </row>
    <row r="114" spans="17:20" x14ac:dyDescent="0.3">
      <c r="Q114" s="191"/>
      <c r="S114" s="192"/>
      <c r="T114" s="192"/>
    </row>
    <row r="115" spans="17:20" x14ac:dyDescent="0.3">
      <c r="Q115" s="191"/>
      <c r="S115" s="192"/>
      <c r="T115" s="192"/>
    </row>
    <row r="116" spans="17:20" x14ac:dyDescent="0.3">
      <c r="Q116" s="191"/>
      <c r="S116" s="192"/>
      <c r="T116" s="192"/>
    </row>
    <row r="117" spans="17:20" x14ac:dyDescent="0.3">
      <c r="Q117" s="191"/>
      <c r="S117" s="192"/>
      <c r="T117" s="192"/>
    </row>
    <row r="118" spans="17:20" x14ac:dyDescent="0.3">
      <c r="Q118" s="193"/>
      <c r="R118" s="195"/>
      <c r="S118" s="194"/>
      <c r="T118" s="194"/>
    </row>
    <row r="121" spans="17:20" x14ac:dyDescent="0.3">
      <c r="Q121" s="264" t="s">
        <v>635</v>
      </c>
      <c r="R121" s="274" t="s">
        <v>1080</v>
      </c>
      <c r="S121" s="275">
        <f>SUMIFS(TblElec[2024 Total], TblElec[Office/resi], "Residential", TblElec[Source], "Electric Power - Shared Services", TblElec[Managed], "yes")</f>
        <v>152133</v>
      </c>
      <c r="T121" s="275">
        <f>SUMIFS(TblElec[2023 Total], TblElec[Office/resi], "Residential", TblElec[Source], "Electric Power - Shared Services", TblElec[Managed], "yes")</f>
        <v>232523.44</v>
      </c>
    </row>
    <row r="122" spans="17:20" x14ac:dyDescent="0.3">
      <c r="Q122" s="191"/>
      <c r="R122" s="185" t="s">
        <v>1087</v>
      </c>
      <c r="S122" s="275">
        <f>SUMIFS(TblElec[2024 Total], TblElec[Office/resi], "Residential", TblElec[Source], "Electric Power - Tenant Space (Tenant Control)", TblElec[Managed], "yes")</f>
        <v>657359.10000000009</v>
      </c>
      <c r="T122" s="275">
        <f>SUMIFS(TblElec[2023 Total], TblElec[Office/resi], "Residential", TblElec[Source], "Electric Power - Tenant Space (Tenant Control)", TblElec[Managed], "yes")</f>
        <v>270293.75</v>
      </c>
    </row>
    <row r="123" spans="17:20" x14ac:dyDescent="0.3">
      <c r="Q123" s="191"/>
      <c r="R123" s="89" t="s">
        <v>1092</v>
      </c>
      <c r="S123" s="275">
        <f>SUMIFS(TblElec[2024 Total], TblElec[Office/resi], "Residential", TblElec[Source], "Electric Power - Whole Building (Tenant Control)", TblElec[Managed], "yes")</f>
        <v>31306</v>
      </c>
      <c r="T123" s="275">
        <f>SUMIFS(TblElec[2023 Total], TblElec[Office/resi], "Residential", TblElec[Source], "Electric Power - Whole Building (Tenant Control)", TblElec[Managed], "yes")</f>
        <v>210182</v>
      </c>
    </row>
    <row r="124" spans="17:20" x14ac:dyDescent="0.3">
      <c r="Q124" s="191"/>
      <c r="R124" s="273"/>
      <c r="S124" s="277"/>
      <c r="T124" s="277"/>
    </row>
    <row r="125" spans="17:20" x14ac:dyDescent="0.3">
      <c r="Q125" s="191"/>
      <c r="R125" s="273" t="s">
        <v>1192</v>
      </c>
      <c r="S125" s="278">
        <f>SUM(S121:S123)</f>
        <v>840798.10000000009</v>
      </c>
      <c r="T125" s="278">
        <f>SUM(T121:T123)</f>
        <v>712999.19</v>
      </c>
    </row>
    <row r="126" spans="17:20" x14ac:dyDescent="0.3">
      <c r="Q126" s="191"/>
      <c r="S126" s="192"/>
      <c r="T126" s="192"/>
    </row>
    <row r="127" spans="17:20" x14ac:dyDescent="0.3">
      <c r="Q127" s="191"/>
      <c r="S127" s="192"/>
      <c r="T127" s="192"/>
    </row>
    <row r="128" spans="17:20" x14ac:dyDescent="0.3">
      <c r="Q128" s="191"/>
      <c r="S128" s="192"/>
      <c r="T128" s="192"/>
    </row>
    <row r="129" spans="17:20" x14ac:dyDescent="0.3">
      <c r="Q129" s="191"/>
      <c r="S129" s="192"/>
      <c r="T129" s="192"/>
    </row>
    <row r="130" spans="17:20" x14ac:dyDescent="0.3">
      <c r="Q130" s="191"/>
      <c r="R130" s="89" t="s">
        <v>1082</v>
      </c>
      <c r="S130" s="275">
        <f>SUMIFS(TblElec[2024 Total], TblElec[Office/resi], "Residential", TblElec[Source], "Renewable Power - Offsite", TblElec[Managed], "yes")</f>
        <v>152133</v>
      </c>
      <c r="T130" s="275">
        <f>SUMIFS(TblElec[2023 Total], TblElec[Office/resi], "Residential", TblElec[Source], "Renewable Power - Offsite", TblElec[Managed], "yes")</f>
        <v>232523.44</v>
      </c>
    </row>
    <row r="131" spans="17:20" x14ac:dyDescent="0.3">
      <c r="Q131" s="191"/>
      <c r="S131" s="192"/>
      <c r="T131" s="192"/>
    </row>
    <row r="132" spans="17:20" x14ac:dyDescent="0.3">
      <c r="Q132" s="191"/>
      <c r="R132" s="273" t="s">
        <v>1195</v>
      </c>
      <c r="S132" s="278">
        <f>SUM(S130:S130)</f>
        <v>152133</v>
      </c>
      <c r="T132" s="278">
        <f>SUM(T130:T130)</f>
        <v>232523.44</v>
      </c>
    </row>
    <row r="133" spans="17:20" x14ac:dyDescent="0.3">
      <c r="Q133" s="191"/>
      <c r="S133" s="192"/>
      <c r="T133" s="192"/>
    </row>
    <row r="134" spans="17:20" x14ac:dyDescent="0.3">
      <c r="Q134" s="191"/>
      <c r="S134" s="192"/>
      <c r="T134" s="192"/>
    </row>
    <row r="135" spans="17:20" x14ac:dyDescent="0.3">
      <c r="Q135" s="191"/>
      <c r="S135" s="192"/>
      <c r="T135" s="192"/>
    </row>
    <row r="136" spans="17:20" x14ac:dyDescent="0.3">
      <c r="Q136" s="191"/>
      <c r="S136" s="192"/>
      <c r="T136" s="192"/>
    </row>
    <row r="137" spans="17:20" x14ac:dyDescent="0.3">
      <c r="Q137" s="193"/>
      <c r="R137" s="195"/>
      <c r="S137" s="194"/>
      <c r="T137" s="194"/>
    </row>
  </sheetData>
  <mergeCells count="19">
    <mergeCell ref="A9:E9"/>
    <mergeCell ref="G9:H9"/>
    <mergeCell ref="I9:R9"/>
    <mergeCell ref="A7:E7"/>
    <mergeCell ref="G7:H7"/>
    <mergeCell ref="I7:R7"/>
    <mergeCell ref="A8:E8"/>
    <mergeCell ref="G8:H8"/>
    <mergeCell ref="I8:R8"/>
    <mergeCell ref="A5:E5"/>
    <mergeCell ref="I5:R5"/>
    <mergeCell ref="A6:E6"/>
    <mergeCell ref="G6:H6"/>
    <mergeCell ref="I6:R6"/>
    <mergeCell ref="A1:R1"/>
    <mergeCell ref="A3:R3"/>
    <mergeCell ref="A4:E4"/>
    <mergeCell ref="G4:H4"/>
    <mergeCell ref="I4:R4"/>
  </mergeCells>
  <phoneticPr fontId="3" type="noConversion"/>
  <pageMargins left="0.7" right="0.7" top="0.75" bottom="0.75" header="0.3" footer="0.3"/>
  <pageSetup paperSize="9" orientation="portrait" r:id="rId1"/>
  <headerFooter alignWithMargins="0"/>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ED35-A22D-4ACD-948A-19E55B42016A}">
  <dimension ref="A1:O23"/>
  <sheetViews>
    <sheetView workbookViewId="0">
      <selection activeCell="C2" sqref="C2"/>
    </sheetView>
  </sheetViews>
  <sheetFormatPr defaultRowHeight="14.4" x14ac:dyDescent="0.3"/>
  <cols>
    <col min="1" max="1" width="23.5546875" bestFit="1" customWidth="1"/>
    <col min="2" max="2" width="11.109375" bestFit="1" customWidth="1"/>
    <col min="3" max="3" width="13" bestFit="1" customWidth="1"/>
    <col min="4" max="4" width="21.44140625" bestFit="1" customWidth="1"/>
    <col min="5" max="5" width="9.88671875" bestFit="1" customWidth="1"/>
    <col min="6" max="8" width="7.21875" bestFit="1" customWidth="1"/>
    <col min="11" max="11" width="10.5546875" customWidth="1"/>
  </cols>
  <sheetData>
    <row r="1" spans="1:15" x14ac:dyDescent="0.3">
      <c r="A1" s="126" t="s">
        <v>1169</v>
      </c>
      <c r="B1" s="122"/>
      <c r="C1" s="122"/>
      <c r="D1" s="122"/>
      <c r="E1" s="122"/>
      <c r="F1" s="122"/>
      <c r="G1" s="122"/>
      <c r="H1" s="123"/>
      <c r="K1" s="126" t="s">
        <v>1251</v>
      </c>
      <c r="L1" s="122"/>
      <c r="M1" s="122"/>
    </row>
    <row r="2" spans="1:15" x14ac:dyDescent="0.3">
      <c r="A2" s="127" t="s">
        <v>1477</v>
      </c>
      <c r="B2" s="124"/>
      <c r="C2" s="105">
        <f>E19</f>
        <v>290.11409900000001</v>
      </c>
      <c r="D2" s="124"/>
      <c r="E2" s="124"/>
      <c r="F2" s="124"/>
      <c r="G2" s="124"/>
      <c r="H2" s="125"/>
      <c r="K2" s="127" t="s">
        <v>1477</v>
      </c>
      <c r="L2" s="124"/>
      <c r="M2" s="105">
        <f>E21</f>
        <v>169.85626492528164</v>
      </c>
    </row>
    <row r="4" spans="1:15" x14ac:dyDescent="0.3">
      <c r="A4" t="s">
        <v>1478</v>
      </c>
    </row>
    <row r="5" spans="1:15" x14ac:dyDescent="0.3">
      <c r="B5" t="s">
        <v>1479</v>
      </c>
      <c r="C5" t="s">
        <v>1480</v>
      </c>
      <c r="E5" t="s">
        <v>1481</v>
      </c>
      <c r="F5" t="s">
        <v>1482</v>
      </c>
      <c r="G5" t="s">
        <v>1483</v>
      </c>
      <c r="J5" s="105" t="s">
        <v>1484</v>
      </c>
      <c r="K5" s="370">
        <v>472148.27</v>
      </c>
      <c r="L5" s="105" t="s">
        <v>1485</v>
      </c>
      <c r="M5" s="105"/>
      <c r="N5" s="105"/>
      <c r="O5" s="105"/>
    </row>
    <row r="6" spans="1:15" x14ac:dyDescent="0.3">
      <c r="A6" t="s">
        <v>1486</v>
      </c>
      <c r="B6" t="s">
        <v>35</v>
      </c>
      <c r="C6" t="s">
        <v>1487</v>
      </c>
      <c r="D6" t="s">
        <v>1488</v>
      </c>
      <c r="E6">
        <v>288.8</v>
      </c>
      <c r="F6">
        <v>1.481E-2</v>
      </c>
      <c r="G6">
        <v>3.3E-3</v>
      </c>
      <c r="J6" s="105" t="s">
        <v>1489</v>
      </c>
      <c r="K6" s="216">
        <v>169.85626492528164</v>
      </c>
      <c r="L6" s="105" t="s">
        <v>1490</v>
      </c>
      <c r="M6" s="105"/>
      <c r="N6" s="105"/>
      <c r="O6" s="105"/>
    </row>
    <row r="7" spans="1:15" x14ac:dyDescent="0.3">
      <c r="A7" t="s">
        <v>1203</v>
      </c>
      <c r="B7" t="s">
        <v>1131</v>
      </c>
      <c r="C7" t="s">
        <v>1487</v>
      </c>
      <c r="D7" t="s">
        <v>1488</v>
      </c>
      <c r="E7" s="196">
        <v>1800</v>
      </c>
      <c r="F7">
        <v>9.6299999999999997E-2</v>
      </c>
      <c r="G7">
        <v>2.9299999999999999E-3</v>
      </c>
      <c r="J7" s="105"/>
      <c r="K7" s="105">
        <f>K6*K5</f>
        <v>80197341.633133411</v>
      </c>
      <c r="L7" s="105" t="s">
        <v>1491</v>
      </c>
      <c r="M7" s="105"/>
      <c r="N7" s="105"/>
      <c r="O7" s="105"/>
    </row>
    <row r="8" spans="1:15" x14ac:dyDescent="0.3">
      <c r="J8" s="105"/>
      <c r="K8" s="105">
        <f>K7*0.000001</f>
        <v>80.197341633133405</v>
      </c>
      <c r="L8" s="105" t="s">
        <v>1492</v>
      </c>
      <c r="M8" s="105"/>
      <c r="N8" s="105"/>
      <c r="O8" s="105"/>
    </row>
    <row r="10" spans="1:15" x14ac:dyDescent="0.3">
      <c r="A10" t="s">
        <v>1493</v>
      </c>
    </row>
    <row r="11" spans="1:15" x14ac:dyDescent="0.3">
      <c r="A11" t="s">
        <v>1481</v>
      </c>
      <c r="B11" s="197">
        <v>1</v>
      </c>
    </row>
    <row r="12" spans="1:15" x14ac:dyDescent="0.3">
      <c r="A12" t="s">
        <v>1494</v>
      </c>
      <c r="B12" s="197">
        <v>27.9</v>
      </c>
    </row>
    <row r="13" spans="1:15" x14ac:dyDescent="0.3">
      <c r="A13" t="s">
        <v>1495</v>
      </c>
      <c r="B13" s="197">
        <v>29.8</v>
      </c>
    </row>
    <row r="14" spans="1:15" x14ac:dyDescent="0.3">
      <c r="A14" t="s">
        <v>1496</v>
      </c>
      <c r="B14" s="197">
        <v>27</v>
      </c>
    </row>
    <row r="15" spans="1:15" x14ac:dyDescent="0.3">
      <c r="A15" t="s">
        <v>1483</v>
      </c>
      <c r="B15" s="197">
        <v>273</v>
      </c>
    </row>
    <row r="17" spans="1:11" x14ac:dyDescent="0.3">
      <c r="A17" t="s">
        <v>1497</v>
      </c>
    </row>
    <row r="18" spans="1:11" x14ac:dyDescent="0.3">
      <c r="B18" t="s">
        <v>1479</v>
      </c>
      <c r="C18" t="s">
        <v>1480</v>
      </c>
      <c r="E18" t="s">
        <v>1498</v>
      </c>
      <c r="F18" t="s">
        <v>1481</v>
      </c>
      <c r="G18" t="s">
        <v>1482</v>
      </c>
      <c r="H18" t="s">
        <v>1483</v>
      </c>
      <c r="K18" s="369"/>
    </row>
    <row r="19" spans="1:11" x14ac:dyDescent="0.3">
      <c r="A19" s="68" t="s">
        <v>1486</v>
      </c>
      <c r="B19" s="68" t="s">
        <v>35</v>
      </c>
      <c r="C19" s="68" t="s">
        <v>1487</v>
      </c>
      <c r="D19" t="s">
        <v>1488</v>
      </c>
      <c r="E19" s="68">
        <f>SUM(F19:H19)</f>
        <v>290.11409900000001</v>
      </c>
      <c r="F19" s="68">
        <f>B11*E6</f>
        <v>288.8</v>
      </c>
      <c r="G19" s="68">
        <f>F6*B12</f>
        <v>0.41319899999999998</v>
      </c>
      <c r="H19" s="68">
        <f>G6*B15</f>
        <v>0.90090000000000003</v>
      </c>
    </row>
    <row r="20" spans="1:11" x14ac:dyDescent="0.3">
      <c r="A20" t="s">
        <v>1203</v>
      </c>
      <c r="B20" t="s">
        <v>1131</v>
      </c>
      <c r="C20" t="s">
        <v>1487</v>
      </c>
      <c r="D20" t="s">
        <v>1488</v>
      </c>
      <c r="E20">
        <f>SUM(F20:H20)</f>
        <v>1803.6696300000001</v>
      </c>
      <c r="F20">
        <f>E7*B11</f>
        <v>1800</v>
      </c>
      <c r="G20">
        <f>F7*B13</f>
        <v>2.8697400000000002</v>
      </c>
      <c r="H20">
        <f>G7*B15</f>
        <v>0.79988999999999999</v>
      </c>
    </row>
    <row r="21" spans="1:11" x14ac:dyDescent="0.3">
      <c r="A21" s="68" t="s">
        <v>1203</v>
      </c>
      <c r="B21" s="68" t="s">
        <v>35</v>
      </c>
      <c r="C21" s="68" t="s">
        <v>1487</v>
      </c>
      <c r="D21" t="s">
        <v>1488</v>
      </c>
      <c r="E21" s="68">
        <f>E20/$D$23</f>
        <v>169.85626492528164</v>
      </c>
      <c r="F21" s="68">
        <f>F20/$D$23</f>
        <v>169.51068631427083</v>
      </c>
      <c r="G21" s="68">
        <f>G20/$D$23</f>
        <v>0.270250887190842</v>
      </c>
      <c r="H21" s="68">
        <f>H20/$D$23</f>
        <v>7.5327723819956713E-2</v>
      </c>
    </row>
    <row r="23" spans="1:11" x14ac:dyDescent="0.3">
      <c r="A23" t="s">
        <v>1499</v>
      </c>
      <c r="D23">
        <v>10.618799552630099</v>
      </c>
    </row>
  </sheetData>
  <pageMargins left="0.7" right="0.7" top="0.75" bottom="0.75" header="0.3" footer="0.3"/>
  <headerFooter>
    <oddFooter>&amp;C_x000D_&amp;1#&amp;"Calibri"&amp;6&amp;K626469 General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261BF-39B9-43FC-808F-68C022657B6D}">
  <dimension ref="A5:W32"/>
  <sheetViews>
    <sheetView topLeftCell="F1" workbookViewId="0">
      <selection activeCell="M15" sqref="M15"/>
    </sheetView>
  </sheetViews>
  <sheetFormatPr defaultColWidth="9" defaultRowHeight="14.4" x14ac:dyDescent="0.3"/>
  <cols>
    <col min="1" max="1" width="9" style="130"/>
    <col min="2" max="2" width="12.77734375" style="130" bestFit="1" customWidth="1"/>
    <col min="3" max="3" width="17.77734375" style="130" customWidth="1"/>
    <col min="4" max="4" width="15" style="130" customWidth="1"/>
    <col min="5" max="5" width="27" style="130" customWidth="1"/>
    <col min="6" max="6" width="19.44140625" style="130" customWidth="1"/>
    <col min="7" max="7" width="13.109375" style="130" customWidth="1"/>
    <col min="8" max="8" width="21.88671875" style="130" customWidth="1"/>
    <col min="9" max="9" width="16.88671875" style="130" customWidth="1"/>
    <col min="10" max="11" width="9" style="130"/>
    <col min="12" max="12" width="22.77734375" style="130" customWidth="1"/>
    <col min="13" max="13" width="10.5546875" style="130" customWidth="1"/>
    <col min="14" max="16384" width="9" style="130"/>
  </cols>
  <sheetData>
    <row r="5" spans="1:23" ht="58.2" thickBot="1" x14ac:dyDescent="0.35">
      <c r="A5" s="130" t="s">
        <v>1500</v>
      </c>
      <c r="E5" s="143" t="s">
        <v>1501</v>
      </c>
      <c r="L5" s="143" t="s">
        <v>1501</v>
      </c>
    </row>
    <row r="6" spans="1:23" x14ac:dyDescent="0.3">
      <c r="A6" s="131"/>
      <c r="B6" s="131" t="s">
        <v>1502</v>
      </c>
      <c r="C6" s="131" t="s">
        <v>1503</v>
      </c>
      <c r="D6" s="131" t="s">
        <v>1504</v>
      </c>
      <c r="E6" s="131" t="s">
        <v>1504</v>
      </c>
      <c r="F6" s="131" t="s">
        <v>1505</v>
      </c>
      <c r="G6" s="131" t="s">
        <v>222</v>
      </c>
      <c r="H6" s="131" t="s">
        <v>1506</v>
      </c>
      <c r="I6" s="132" t="s">
        <v>1507</v>
      </c>
      <c r="J6" s="132" t="s">
        <v>1508</v>
      </c>
      <c r="L6" s="130" t="s">
        <v>1509</v>
      </c>
      <c r="M6" s="130" t="s">
        <v>1510</v>
      </c>
      <c r="V6" s="133" t="s">
        <v>1169</v>
      </c>
      <c r="W6" s="134">
        <v>0.254</v>
      </c>
    </row>
    <row r="7" spans="1:23" x14ac:dyDescent="0.3">
      <c r="A7" s="131"/>
      <c r="B7" s="131"/>
      <c r="C7" s="131" t="s">
        <v>35</v>
      </c>
      <c r="D7" s="131" t="s">
        <v>35</v>
      </c>
      <c r="E7" s="131" t="s">
        <v>1511</v>
      </c>
      <c r="F7" s="131" t="s">
        <v>35</v>
      </c>
      <c r="G7" s="131" t="s">
        <v>1511</v>
      </c>
      <c r="H7" s="130" t="s">
        <v>1512</v>
      </c>
      <c r="L7" s="130" t="s">
        <v>1512</v>
      </c>
      <c r="V7" s="144"/>
      <c r="W7" s="145"/>
    </row>
    <row r="8" spans="1:23" ht="15" thickBot="1" x14ac:dyDescent="0.35">
      <c r="A8" s="131">
        <v>2019</v>
      </c>
      <c r="B8" s="141">
        <v>76114</v>
      </c>
      <c r="C8" s="140">
        <v>5664745</v>
      </c>
      <c r="D8" s="140">
        <v>8797000</v>
      </c>
      <c r="E8" s="140">
        <f>D8*0.4</f>
        <v>3518800</v>
      </c>
      <c r="F8" s="140">
        <v>8145594</v>
      </c>
      <c r="G8" s="141">
        <f>SUM(F8,D8,C8)</f>
        <v>22607339</v>
      </c>
      <c r="H8" s="135">
        <f>G8/B8</f>
        <v>297.01945765562181</v>
      </c>
      <c r="I8" s="136"/>
      <c r="L8" s="130">
        <v>153</v>
      </c>
      <c r="M8" s="136"/>
      <c r="V8" s="137" t="s">
        <v>1251</v>
      </c>
      <c r="W8" s="138">
        <v>0.20469999999999999</v>
      </c>
    </row>
    <row r="9" spans="1:23" x14ac:dyDescent="0.3">
      <c r="A9" s="131">
        <v>2020</v>
      </c>
      <c r="B9" s="141">
        <v>76114</v>
      </c>
      <c r="C9" s="140">
        <v>4230840</v>
      </c>
      <c r="D9" s="140">
        <v>7183053</v>
      </c>
      <c r="E9" s="140">
        <f t="shared" ref="E9:E11" si="0">D9*0.4</f>
        <v>2873221.2</v>
      </c>
      <c r="F9" s="140">
        <v>5145765</v>
      </c>
      <c r="G9" s="141">
        <f t="shared" ref="G9:G11" si="1">SUM(F9,D9,C9)</f>
        <v>16559658</v>
      </c>
      <c r="H9" s="135">
        <f t="shared" ref="H9:H11" si="2">G9/B9</f>
        <v>217.56389100559687</v>
      </c>
      <c r="I9" s="136">
        <f>1-((SUM(H9))/(SUM(H8)))</f>
        <v>0.26750963481372125</v>
      </c>
      <c r="J9" s="136">
        <f>1-((SUM(H9))/(SUM($H$8)))</f>
        <v>0.26750963481372125</v>
      </c>
      <c r="L9" s="130">
        <v>153</v>
      </c>
      <c r="M9" s="136">
        <f>1-((SUM(H9))/(SUM(L8)))</f>
        <v>-0.42198621572285533</v>
      </c>
    </row>
    <row r="10" spans="1:23" x14ac:dyDescent="0.3">
      <c r="A10" s="131">
        <v>2021</v>
      </c>
      <c r="B10" s="141">
        <v>76114</v>
      </c>
      <c r="C10" s="140">
        <v>3495067</v>
      </c>
      <c r="D10" s="140">
        <v>5756521</v>
      </c>
      <c r="E10" s="140">
        <f t="shared" si="0"/>
        <v>2302608.4</v>
      </c>
      <c r="F10" s="140">
        <v>4290962</v>
      </c>
      <c r="G10" s="141">
        <f t="shared" si="1"/>
        <v>13542550</v>
      </c>
      <c r="H10" s="135">
        <f t="shared" si="2"/>
        <v>177.92456052762961</v>
      </c>
      <c r="I10" s="136">
        <f t="shared" ref="I10:I11" si="3">1-((SUM(H10))/(SUM(H9)))</f>
        <v>0.18219627482644873</v>
      </c>
      <c r="J10" s="136">
        <f t="shared" ref="J10:J11" si="4">1-((SUM(H10))/(SUM($H$8)))</f>
        <v>0.40096665069692627</v>
      </c>
      <c r="L10" s="130">
        <v>153</v>
      </c>
      <c r="M10" s="136">
        <f t="shared" ref="M10:M12" si="5">1-((SUM(H10))/(SUM(L9)))</f>
        <v>-0.16290562436359224</v>
      </c>
    </row>
    <row r="11" spans="1:23" x14ac:dyDescent="0.3">
      <c r="A11" s="131">
        <v>2022</v>
      </c>
      <c r="B11" s="141">
        <f>'2024 Asset list'!I29</f>
        <v>76113.965357142864</v>
      </c>
      <c r="C11" s="140">
        <v>2489806</v>
      </c>
      <c r="D11" s="140">
        <f>[28]Master!H46+[28]Master!I46+[28]Master!J46+[28]Master!M46+[28]Master!N46+[28]Master!O46+[28]Master!P46+[28]Master!Q46+[28]Master!R46</f>
        <v>3539036.9157380001</v>
      </c>
      <c r="E11" s="140">
        <f t="shared" si="0"/>
        <v>1415614.7662952002</v>
      </c>
      <c r="F11" s="140">
        <v>4284231</v>
      </c>
      <c r="G11" s="141">
        <f t="shared" si="1"/>
        <v>10313073.915738</v>
      </c>
      <c r="H11" s="135">
        <f t="shared" si="2"/>
        <v>135.49516001888577</v>
      </c>
      <c r="I11" s="136">
        <f t="shared" si="3"/>
        <v>0.23846848564875367</v>
      </c>
      <c r="J11" s="136">
        <f t="shared" si="4"/>
        <v>0.54381722635833118</v>
      </c>
      <c r="L11" s="130">
        <v>153</v>
      </c>
      <c r="M11" s="136">
        <f t="shared" si="5"/>
        <v>0.114410718830812</v>
      </c>
    </row>
    <row r="12" spans="1:23" x14ac:dyDescent="0.3">
      <c r="A12" s="131">
        <v>2023</v>
      </c>
      <c r="B12" s="243">
        <f>'2024 Asset list'!I29</f>
        <v>76113.965357142864</v>
      </c>
      <c r="C12" s="243">
        <v>2382322.0520000001</v>
      </c>
      <c r="D12" s="243">
        <v>3228935.7289999998</v>
      </c>
      <c r="E12" s="279">
        <v>1291574.2916000001</v>
      </c>
      <c r="F12" s="243">
        <v>3815713.9310000003</v>
      </c>
      <c r="G12" s="141">
        <v>9426971.7120000012</v>
      </c>
      <c r="H12" s="135">
        <f t="shared" ref="H12" si="6">G12/B12</f>
        <v>123.85337786261235</v>
      </c>
      <c r="I12" s="142">
        <f t="shared" ref="I12" si="7">1-((SUM(H12))/(SUM(H11)))</f>
        <v>8.5920280507811087E-2</v>
      </c>
      <c r="J12" s="139">
        <f t="shared" ref="J12" si="8">1-((SUM(H12))/(SUM($H$8)))</f>
        <v>0.58301257823245467</v>
      </c>
      <c r="L12" s="130">
        <v>153</v>
      </c>
      <c r="M12" s="139">
        <f t="shared" si="5"/>
        <v>0.19050079828357946</v>
      </c>
    </row>
    <row r="13" spans="1:23" x14ac:dyDescent="0.3">
      <c r="A13" s="131">
        <v>2024</v>
      </c>
      <c r="B13" s="243">
        <f>'2024 Asset list'!I29</f>
        <v>76113.965357142864</v>
      </c>
      <c r="C13" s="243">
        <v>2271089.2590000001</v>
      </c>
      <c r="D13" s="243">
        <v>3207463.3618999999</v>
      </c>
      <c r="E13" s="279">
        <v>1282985.34476</v>
      </c>
      <c r="F13" s="243">
        <v>4003127.764</v>
      </c>
      <c r="G13" s="141">
        <v>9481680.3848999999</v>
      </c>
      <c r="H13" s="135">
        <f t="shared" ref="H13" si="9">G13/B13</f>
        <v>124.57215098976837</v>
      </c>
      <c r="I13" s="142">
        <f t="shared" ref="I13" si="10">1-((SUM(H13))/(SUM(H12)))</f>
        <v>-5.8034196528200521E-3</v>
      </c>
      <c r="J13" s="139">
        <f t="shared" ref="J13:J14" si="11">1-((SUM(H13))/(SUM($H$8)))</f>
        <v>0.58059262523399013</v>
      </c>
      <c r="L13" s="130">
        <v>153</v>
      </c>
      <c r="M13" s="139">
        <f t="shared" ref="M13" si="12">1-((SUM(H13))/(SUM(L12)))</f>
        <v>0.18580293470739628</v>
      </c>
    </row>
    <row r="14" spans="1:23" x14ac:dyDescent="0.3">
      <c r="A14" s="379">
        <v>2025</v>
      </c>
      <c r="B14" s="633" cm="1">
        <f t="array" ref="B14">_xlfn.ANCHORARRAY('2025 Asset list '!G28)</f>
        <v>69162</v>
      </c>
      <c r="C14" s="633">
        <f>('2025 Electricity (2)'!I62 + '2025 Electricity (2)'!I64) -'2025 Electricity (2)'!F8</f>
        <v>2546990.0413407795</v>
      </c>
      <c r="D14" s="634">
        <f>'Gas Building Totals 2025'!H26 - 'Gas Building Totals 2025'!D8</f>
        <v>1272584.2149999999</v>
      </c>
      <c r="E14" s="633">
        <f>D14*0.4</f>
        <v>509033.68599999999</v>
      </c>
      <c r="F14" s="633">
        <f>'2025 Electricity (2)'!I63 - '2025 Electricity (2)'!C8</f>
        <v>3273516.8525212402</v>
      </c>
      <c r="G14" s="633">
        <f>SUM(C14,D14,F14)</f>
        <v>7093091.1088620201</v>
      </c>
      <c r="H14" s="635">
        <f>G14/B14</f>
        <v>102.55763437815592</v>
      </c>
      <c r="I14" s="142">
        <f>1-((SUM(H14))/(SUM(H13)))</f>
        <v>0.17672101217406599</v>
      </c>
      <c r="J14" s="139">
        <f t="shared" si="11"/>
        <v>0.65471072101590722</v>
      </c>
      <c r="K14" s="378"/>
      <c r="L14" s="130">
        <v>100</v>
      </c>
      <c r="M14" s="139">
        <f>1-((SUM(H14))/(SUM(L14)))</f>
        <v>-2.5576343781559263E-2</v>
      </c>
    </row>
    <row r="15" spans="1:23" x14ac:dyDescent="0.3">
      <c r="A15" s="131">
        <v>2026</v>
      </c>
    </row>
    <row r="16" spans="1:23" x14ac:dyDescent="0.3">
      <c r="A16" s="131">
        <v>2027</v>
      </c>
    </row>
    <row r="17" spans="1:17" x14ac:dyDescent="0.3">
      <c r="A17" s="131">
        <v>2028</v>
      </c>
    </row>
    <row r="18" spans="1:17" x14ac:dyDescent="0.3">
      <c r="A18" s="131">
        <v>2029</v>
      </c>
    </row>
    <row r="19" spans="1:17" x14ac:dyDescent="0.3">
      <c r="A19" s="131">
        <v>2030</v>
      </c>
    </row>
    <row r="28" spans="1:17" x14ac:dyDescent="0.3">
      <c r="P28" s="131"/>
      <c r="Q28" s="131"/>
    </row>
    <row r="29" spans="1:17" x14ac:dyDescent="0.3">
      <c r="P29" s="131"/>
    </row>
    <row r="30" spans="1:17" x14ac:dyDescent="0.3">
      <c r="P30" s="131"/>
    </row>
    <row r="31" spans="1:17" x14ac:dyDescent="0.3">
      <c r="P31" s="131"/>
    </row>
    <row r="32" spans="1:17" x14ac:dyDescent="0.3">
      <c r="P32" s="131"/>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C9030-FE51-40F1-98FF-BED003938EBC}">
  <dimension ref="A1:F23"/>
  <sheetViews>
    <sheetView workbookViewId="0">
      <selection activeCell="D23" sqref="D23"/>
    </sheetView>
  </sheetViews>
  <sheetFormatPr defaultRowHeight="14.4" x14ac:dyDescent="0.3"/>
  <cols>
    <col min="1" max="1" width="46.44140625" customWidth="1"/>
    <col min="2" max="2" width="13.21875" bestFit="1" customWidth="1"/>
    <col min="3" max="3" width="20.5546875" customWidth="1"/>
    <col min="4" max="4" width="29.77734375" customWidth="1"/>
    <col min="5" max="5" width="14.5546875" customWidth="1"/>
  </cols>
  <sheetData>
    <row r="1" spans="1:6" x14ac:dyDescent="0.3">
      <c r="C1" t="s">
        <v>1513</v>
      </c>
      <c r="D1" t="s">
        <v>1514</v>
      </c>
      <c r="F1" s="87"/>
    </row>
    <row r="2" spans="1:6" x14ac:dyDescent="0.3">
      <c r="A2" t="s">
        <v>752</v>
      </c>
      <c r="B2" t="s">
        <v>396</v>
      </c>
      <c r="C2" s="85">
        <v>50000</v>
      </c>
      <c r="D2" s="148">
        <f>R31</f>
        <v>0</v>
      </c>
      <c r="F2" s="87">
        <f>SUM(C2:D2)</f>
        <v>50000</v>
      </c>
    </row>
    <row r="3" spans="1:6" x14ac:dyDescent="0.3">
      <c r="A3" t="s">
        <v>754</v>
      </c>
      <c r="B3" t="s">
        <v>35</v>
      </c>
      <c r="C3" s="85">
        <v>0</v>
      </c>
      <c r="D3" s="148">
        <f>B22</f>
        <v>0</v>
      </c>
      <c r="F3" s="87">
        <f t="shared" ref="F3:F4" si="0">SUM(C3:D3)</f>
        <v>0</v>
      </c>
    </row>
    <row r="4" spans="1:6" ht="15.6" x14ac:dyDescent="0.35">
      <c r="A4" t="s">
        <v>756</v>
      </c>
      <c r="B4" t="s">
        <v>1515</v>
      </c>
      <c r="C4" s="119">
        <f>B9</f>
        <v>9.5737652670000006</v>
      </c>
      <c r="D4" s="106">
        <f>B23</f>
        <v>0</v>
      </c>
      <c r="F4" s="87">
        <f t="shared" si="0"/>
        <v>9.5737652670000006</v>
      </c>
    </row>
    <row r="8" spans="1:6" x14ac:dyDescent="0.3">
      <c r="A8" t="s">
        <v>1516</v>
      </c>
      <c r="B8" s="87">
        <v>33000</v>
      </c>
      <c r="C8" t="s">
        <v>1517</v>
      </c>
    </row>
    <row r="9" spans="1:6" x14ac:dyDescent="0.3">
      <c r="B9" s="118">
        <f>(B8*'2024 IEA CO2e Conversion Factor'!C2)/1000000</f>
        <v>9.5737652670000006</v>
      </c>
      <c r="C9" t="s">
        <v>1518</v>
      </c>
    </row>
    <row r="15" spans="1:6" x14ac:dyDescent="0.3">
      <c r="B15" s="148"/>
    </row>
    <row r="16" spans="1:6" x14ac:dyDescent="0.3">
      <c r="B16" s="148"/>
    </row>
    <row r="19" spans="2:2" x14ac:dyDescent="0.3">
      <c r="B19" s="148"/>
    </row>
    <row r="20" spans="2:2" x14ac:dyDescent="0.3">
      <c r="B20" s="148"/>
    </row>
    <row r="21" spans="2:2" x14ac:dyDescent="0.3">
      <c r="B21" s="148"/>
    </row>
    <row r="22" spans="2:2" x14ac:dyDescent="0.3">
      <c r="B22" s="148"/>
    </row>
    <row r="23" spans="2:2" x14ac:dyDescent="0.3">
      <c r="B23" s="148"/>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60AC9-0871-4F7E-AEAE-12C3E17C1B47}">
  <dimension ref="B2:U281"/>
  <sheetViews>
    <sheetView topLeftCell="D265" workbookViewId="0">
      <selection activeCell="H282" sqref="H282"/>
    </sheetView>
  </sheetViews>
  <sheetFormatPr defaultRowHeight="14.4" x14ac:dyDescent="0.3"/>
  <cols>
    <col min="2" max="2" width="23.88671875" customWidth="1"/>
    <col min="3" max="3" width="35.5546875" customWidth="1"/>
    <col min="4" max="4" width="15.21875" customWidth="1"/>
    <col min="5" max="5" width="13" customWidth="1"/>
    <col min="6" max="6" width="11" bestFit="1" customWidth="1"/>
    <col min="7" max="7" width="15.88671875" customWidth="1"/>
    <col min="8" max="8" width="26" customWidth="1"/>
    <col min="9" max="9" width="14.21875" customWidth="1"/>
    <col min="11" max="11" width="10.44140625" bestFit="1" customWidth="1"/>
  </cols>
  <sheetData>
    <row r="2" spans="2:21" x14ac:dyDescent="0.3">
      <c r="C2" s="459" t="s">
        <v>155</v>
      </c>
      <c r="D2" s="459" t="s">
        <v>157</v>
      </c>
      <c r="E2" s="459" t="s">
        <v>222</v>
      </c>
    </row>
    <row r="3" spans="2:21" x14ac:dyDescent="0.3">
      <c r="B3" s="68" t="s">
        <v>223</v>
      </c>
      <c r="C3" s="74">
        <v>12</v>
      </c>
      <c r="D3" s="74">
        <v>19</v>
      </c>
      <c r="E3" s="74">
        <f>SUM(C3:D3)</f>
        <v>31</v>
      </c>
      <c r="I3" s="480" t="s">
        <v>224</v>
      </c>
      <c r="J3" s="478"/>
      <c r="K3" s="478"/>
      <c r="L3" s="478"/>
      <c r="M3" s="478"/>
      <c r="N3" s="478"/>
      <c r="O3" s="478"/>
      <c r="P3" s="478"/>
      <c r="Q3" s="478"/>
      <c r="R3" s="478"/>
      <c r="S3" s="478"/>
      <c r="T3" s="478"/>
      <c r="U3" s="478"/>
    </row>
    <row r="4" spans="2:21" x14ac:dyDescent="0.3">
      <c r="B4" s="68"/>
      <c r="C4" s="74"/>
      <c r="D4" s="74"/>
      <c r="E4" s="74"/>
      <c r="I4" s="480" t="s">
        <v>225</v>
      </c>
      <c r="J4" s="478"/>
      <c r="K4" s="478"/>
      <c r="L4" s="478"/>
      <c r="M4" s="478"/>
      <c r="N4" s="478"/>
      <c r="O4" s="478"/>
      <c r="P4" s="478"/>
      <c r="Q4" s="478"/>
      <c r="R4" s="478"/>
      <c r="S4" s="478"/>
      <c r="T4" s="478"/>
      <c r="U4" s="478"/>
    </row>
    <row r="5" spans="2:21" x14ac:dyDescent="0.3">
      <c r="B5" s="458" t="s">
        <v>226</v>
      </c>
      <c r="C5" s="457">
        <v>11</v>
      </c>
      <c r="D5" s="457">
        <v>21</v>
      </c>
      <c r="E5" s="456">
        <f>SUM(C5:D5)</f>
        <v>32</v>
      </c>
      <c r="G5" t="s">
        <v>227</v>
      </c>
      <c r="I5" s="478"/>
      <c r="J5" s="478"/>
      <c r="K5" s="478"/>
      <c r="L5" s="478"/>
      <c r="M5" s="478"/>
      <c r="N5" s="478"/>
      <c r="O5" s="478"/>
      <c r="P5" s="478"/>
      <c r="Q5" s="478"/>
      <c r="R5" s="478"/>
      <c r="S5" s="478"/>
      <c r="T5" s="478"/>
      <c r="U5" s="478"/>
    </row>
    <row r="6" spans="2:21" ht="15.75" customHeight="1" x14ac:dyDescent="0.3">
      <c r="B6" s="449" t="s">
        <v>228</v>
      </c>
      <c r="C6" s="455">
        <v>1</v>
      </c>
      <c r="D6" s="455">
        <v>4</v>
      </c>
      <c r="E6" s="454">
        <f>SUM(C6:D6)</f>
        <v>5</v>
      </c>
      <c r="G6" s="104">
        <f>(C7+D7)/E3</f>
        <v>0.12903225806451613</v>
      </c>
      <c r="I6" s="617"/>
      <c r="J6" s="836" t="s">
        <v>229</v>
      </c>
      <c r="K6" s="838"/>
      <c r="L6" s="839" t="s">
        <v>230</v>
      </c>
      <c r="M6" s="840"/>
      <c r="N6" s="836" t="s">
        <v>231</v>
      </c>
      <c r="O6" s="838"/>
      <c r="P6" s="839" t="s">
        <v>232</v>
      </c>
      <c r="Q6" s="840"/>
      <c r="R6" s="836" t="s">
        <v>233</v>
      </c>
      <c r="S6" s="838"/>
      <c r="T6" s="836" t="s">
        <v>234</v>
      </c>
      <c r="U6" s="837"/>
    </row>
    <row r="7" spans="2:21" x14ac:dyDescent="0.3">
      <c r="B7" s="449" t="s">
        <v>235</v>
      </c>
      <c r="C7" s="455">
        <v>2</v>
      </c>
      <c r="D7" s="455">
        <v>2</v>
      </c>
      <c r="E7" s="454">
        <f>SUM(C7:D7)</f>
        <v>4</v>
      </c>
      <c r="G7" t="s">
        <v>236</v>
      </c>
      <c r="I7" s="618" t="s">
        <v>237</v>
      </c>
      <c r="J7" s="619">
        <v>45</v>
      </c>
      <c r="K7" s="620"/>
      <c r="L7" s="619">
        <v>47</v>
      </c>
      <c r="M7" s="620"/>
      <c r="N7" s="619">
        <v>45</v>
      </c>
      <c r="O7" s="620"/>
      <c r="P7" s="619">
        <v>44</v>
      </c>
      <c r="Q7" s="620"/>
      <c r="R7" s="619">
        <v>41</v>
      </c>
      <c r="S7" s="620"/>
      <c r="T7" s="619">
        <v>49</v>
      </c>
      <c r="U7" s="620"/>
    </row>
    <row r="8" spans="2:21" x14ac:dyDescent="0.3">
      <c r="B8" s="447" t="s">
        <v>238</v>
      </c>
      <c r="C8" s="438">
        <v>12</v>
      </c>
      <c r="D8" s="438">
        <v>19</v>
      </c>
      <c r="E8" s="453">
        <f>SUM(C8:D8)</f>
        <v>31</v>
      </c>
      <c r="G8" s="104">
        <f>(C6+D6)/E3</f>
        <v>0.16129032258064516</v>
      </c>
      <c r="I8" s="621" t="s">
        <v>239</v>
      </c>
      <c r="J8" s="622">
        <v>2</v>
      </c>
      <c r="K8" s="698">
        <v>0.06</v>
      </c>
      <c r="L8" s="622">
        <v>0</v>
      </c>
      <c r="M8" s="623">
        <v>0</v>
      </c>
      <c r="N8" s="622">
        <v>0</v>
      </c>
      <c r="O8" s="623">
        <v>0</v>
      </c>
      <c r="P8" s="622">
        <v>0</v>
      </c>
      <c r="Q8" s="624">
        <v>0</v>
      </c>
      <c r="R8" s="622">
        <v>2</v>
      </c>
      <c r="S8" s="625">
        <v>0.15</v>
      </c>
      <c r="T8" s="622">
        <v>0</v>
      </c>
      <c r="U8" s="623">
        <v>0</v>
      </c>
    </row>
    <row r="9" spans="2:21" x14ac:dyDescent="0.3">
      <c r="B9" s="446"/>
      <c r="C9" s="74"/>
      <c r="D9" s="74"/>
      <c r="E9" s="74"/>
      <c r="I9" s="621" t="s">
        <v>240</v>
      </c>
      <c r="J9" s="622">
        <v>8</v>
      </c>
      <c r="K9" s="698">
        <v>0.26</v>
      </c>
      <c r="L9" s="622">
        <v>0</v>
      </c>
      <c r="M9" s="623">
        <v>0</v>
      </c>
      <c r="N9" s="622">
        <v>0</v>
      </c>
      <c r="O9" s="623">
        <v>0</v>
      </c>
      <c r="P9" s="622">
        <v>2</v>
      </c>
      <c r="Q9" s="624">
        <v>0.67</v>
      </c>
      <c r="R9" s="622">
        <v>5</v>
      </c>
      <c r="S9" s="625">
        <v>0.38</v>
      </c>
      <c r="T9" s="622">
        <v>1</v>
      </c>
      <c r="U9" s="623">
        <v>0.14000000000000001</v>
      </c>
    </row>
    <row r="10" spans="2:21" x14ac:dyDescent="0.3">
      <c r="I10" s="621" t="s">
        <v>241</v>
      </c>
      <c r="J10" s="622">
        <v>11</v>
      </c>
      <c r="K10" s="698">
        <v>0.36</v>
      </c>
      <c r="L10" s="622">
        <v>1</v>
      </c>
      <c r="M10" s="623">
        <v>0.5</v>
      </c>
      <c r="N10" s="622">
        <v>4</v>
      </c>
      <c r="O10" s="623">
        <v>0.67</v>
      </c>
      <c r="P10" s="622">
        <v>0</v>
      </c>
      <c r="Q10" s="624">
        <v>0</v>
      </c>
      <c r="R10" s="622">
        <v>3</v>
      </c>
      <c r="S10" s="625">
        <v>0.23</v>
      </c>
      <c r="T10" s="622">
        <v>3</v>
      </c>
      <c r="U10" s="623">
        <v>0.43</v>
      </c>
    </row>
    <row r="11" spans="2:21" x14ac:dyDescent="0.3">
      <c r="B11" s="452" t="s">
        <v>242</v>
      </c>
      <c r="C11" s="444"/>
      <c r="D11" s="444"/>
      <c r="E11" s="443"/>
      <c r="I11" s="621" t="s">
        <v>243</v>
      </c>
      <c r="J11" s="622">
        <v>8</v>
      </c>
      <c r="K11" s="698">
        <v>0.26</v>
      </c>
      <c r="L11" s="622">
        <v>1</v>
      </c>
      <c r="M11" s="623">
        <v>0.5</v>
      </c>
      <c r="N11" s="622">
        <v>2</v>
      </c>
      <c r="O11" s="623">
        <v>0.33</v>
      </c>
      <c r="P11" s="622">
        <v>1</v>
      </c>
      <c r="Q11" s="624">
        <v>0.33</v>
      </c>
      <c r="R11" s="622">
        <v>2</v>
      </c>
      <c r="S11" s="625">
        <v>0.15</v>
      </c>
      <c r="T11" s="622">
        <v>2</v>
      </c>
      <c r="U11" s="623">
        <v>0.28999999999999998</v>
      </c>
    </row>
    <row r="12" spans="2:21" x14ac:dyDescent="0.3">
      <c r="B12" s="449" t="s">
        <v>244</v>
      </c>
      <c r="C12" s="74">
        <v>10</v>
      </c>
      <c r="D12" s="74">
        <v>13</v>
      </c>
      <c r="E12" s="441">
        <f>SUM(C12:D12)</f>
        <v>23</v>
      </c>
      <c r="I12" s="626" t="s">
        <v>245</v>
      </c>
      <c r="J12" s="627">
        <v>2</v>
      </c>
      <c r="K12" s="699">
        <v>0.06</v>
      </c>
      <c r="L12" s="627">
        <v>0</v>
      </c>
      <c r="M12" s="628">
        <v>0</v>
      </c>
      <c r="N12" s="627">
        <v>0</v>
      </c>
      <c r="O12" s="628">
        <v>0</v>
      </c>
      <c r="P12" s="627">
        <v>0</v>
      </c>
      <c r="Q12" s="629">
        <v>0</v>
      </c>
      <c r="R12" s="627">
        <v>1</v>
      </c>
      <c r="S12" s="630">
        <v>0.08</v>
      </c>
      <c r="T12" s="627">
        <v>1</v>
      </c>
      <c r="U12" s="628">
        <v>0.14000000000000001</v>
      </c>
    </row>
    <row r="13" spans="2:21" x14ac:dyDescent="0.3">
      <c r="B13" s="449"/>
      <c r="C13" s="451">
        <f>C12/E12</f>
        <v>0.43478260869565216</v>
      </c>
      <c r="D13" s="451">
        <f>D12/E12</f>
        <v>0.56521739130434778</v>
      </c>
      <c r="E13" s="441"/>
      <c r="I13" s="621"/>
      <c r="J13" s="631">
        <v>31</v>
      </c>
      <c r="K13" s="632" t="s">
        <v>246</v>
      </c>
      <c r="L13" s="631">
        <v>2</v>
      </c>
      <c r="M13" s="632" t="s">
        <v>246</v>
      </c>
      <c r="N13" s="631">
        <v>6</v>
      </c>
      <c r="O13" s="632" t="s">
        <v>246</v>
      </c>
      <c r="P13" s="631">
        <v>3</v>
      </c>
      <c r="Q13" s="632" t="s">
        <v>246</v>
      </c>
      <c r="R13" s="631">
        <v>13</v>
      </c>
      <c r="S13" s="632" t="s">
        <v>246</v>
      </c>
      <c r="T13" s="631">
        <v>7</v>
      </c>
      <c r="U13" s="621" t="s">
        <v>246</v>
      </c>
    </row>
    <row r="14" spans="2:21" x14ac:dyDescent="0.3">
      <c r="B14" s="449" t="s">
        <v>247</v>
      </c>
      <c r="C14" s="74">
        <v>2</v>
      </c>
      <c r="D14" s="74">
        <v>4</v>
      </c>
      <c r="E14" s="441">
        <f>SUM(C14:D14)</f>
        <v>6</v>
      </c>
      <c r="I14" s="480" t="s">
        <v>246</v>
      </c>
      <c r="J14" s="478"/>
      <c r="K14" s="478"/>
      <c r="L14" s="478"/>
      <c r="M14" s="478"/>
      <c r="N14" s="478"/>
      <c r="O14" s="478"/>
      <c r="P14" s="478"/>
      <c r="Q14" s="478"/>
      <c r="R14" s="478"/>
      <c r="S14" s="478"/>
      <c r="T14" s="478"/>
      <c r="U14" s="478"/>
    </row>
    <row r="15" spans="2:21" x14ac:dyDescent="0.3">
      <c r="B15" s="449"/>
      <c r="C15" s="451">
        <f>C14/E14</f>
        <v>0.33333333333333331</v>
      </c>
      <c r="D15" s="451">
        <f>D14/E14</f>
        <v>0.66666666666666663</v>
      </c>
      <c r="E15" s="441"/>
      <c r="K15" s="695">
        <f>J8/J13</f>
        <v>6.4516129032258063E-2</v>
      </c>
    </row>
    <row r="16" spans="2:21" x14ac:dyDescent="0.3">
      <c r="B16" s="449" t="s">
        <v>248</v>
      </c>
      <c r="C16" s="74">
        <v>0</v>
      </c>
      <c r="D16" s="74">
        <v>2</v>
      </c>
      <c r="E16" s="441">
        <f>SUM(C16:D16)</f>
        <v>2</v>
      </c>
      <c r="K16" s="72">
        <f>J9/J13</f>
        <v>0.25806451612903225</v>
      </c>
    </row>
    <row r="17" spans="2:15" x14ac:dyDescent="0.3">
      <c r="B17" s="426"/>
      <c r="C17" s="451"/>
      <c r="D17" s="451">
        <f>D16/E16</f>
        <v>1</v>
      </c>
      <c r="E17" s="441"/>
      <c r="K17" s="695">
        <f>J10/J13</f>
        <v>0.35483870967741937</v>
      </c>
    </row>
    <row r="18" spans="2:15" x14ac:dyDescent="0.3">
      <c r="B18" s="63" t="s">
        <v>223</v>
      </c>
      <c r="C18" s="823">
        <f>C3/E3</f>
        <v>0.38709677419354838</v>
      </c>
      <c r="D18" s="823">
        <f>D3/E3</f>
        <v>0.61290322580645162</v>
      </c>
      <c r="E18" s="437"/>
      <c r="K18" s="72">
        <f>J11/J13</f>
        <v>0.25806451612903225</v>
      </c>
    </row>
    <row r="19" spans="2:15" x14ac:dyDescent="0.3">
      <c r="H19" s="662" t="s">
        <v>249</v>
      </c>
      <c r="I19" s="663">
        <v>67.5</v>
      </c>
      <c r="K19" s="695">
        <f>J12/J13</f>
        <v>6.4516129032258063E-2</v>
      </c>
    </row>
    <row r="20" spans="2:15" x14ac:dyDescent="0.3">
      <c r="H20" s="664" t="s">
        <v>250</v>
      </c>
      <c r="I20" s="665">
        <f>I19/E3</f>
        <v>2.1774193548387095</v>
      </c>
    </row>
    <row r="21" spans="2:15" x14ac:dyDescent="0.3">
      <c r="B21" s="450" t="s">
        <v>251</v>
      </c>
      <c r="C21" s="444"/>
      <c r="D21" s="444"/>
      <c r="E21" s="443"/>
    </row>
    <row r="22" spans="2:15" x14ac:dyDescent="0.3">
      <c r="B22" s="449" t="s">
        <v>252</v>
      </c>
      <c r="C22" s="74">
        <f>(E5+E8)/2</f>
        <v>31.5</v>
      </c>
      <c r="D22" s="74"/>
      <c r="E22" s="441"/>
    </row>
    <row r="23" spans="2:15" x14ac:dyDescent="0.3">
      <c r="B23" s="449" t="s">
        <v>253</v>
      </c>
      <c r="C23" s="448">
        <f>(E6/C22)*100</f>
        <v>15.873015873015872</v>
      </c>
      <c r="D23" s="74"/>
      <c r="E23" s="441"/>
    </row>
    <row r="24" spans="2:15" x14ac:dyDescent="0.3">
      <c r="B24" s="447"/>
      <c r="C24" s="438"/>
      <c r="D24" s="438"/>
      <c r="E24" s="437"/>
    </row>
    <row r="25" spans="2:15" ht="14.4" customHeight="1" x14ac:dyDescent="0.3">
      <c r="C25" s="446"/>
      <c r="D25" s="74"/>
      <c r="E25" s="74"/>
      <c r="F25" s="74"/>
      <c r="I25" s="701"/>
      <c r="J25" s="833" t="s">
        <v>229</v>
      </c>
      <c r="K25" s="834"/>
      <c r="L25" s="835" t="s">
        <v>231</v>
      </c>
      <c r="M25" s="834"/>
      <c r="N25" s="835" t="s">
        <v>244</v>
      </c>
      <c r="O25" s="834"/>
    </row>
    <row r="26" spans="2:15" x14ac:dyDescent="0.3">
      <c r="C26" s="446"/>
      <c r="D26" s="74"/>
      <c r="E26" s="74"/>
      <c r="F26" s="74"/>
      <c r="I26" s="702" t="s">
        <v>237</v>
      </c>
      <c r="J26" s="703" t="s">
        <v>157</v>
      </c>
      <c r="K26" s="704" t="s">
        <v>155</v>
      </c>
      <c r="L26" s="705" t="s">
        <v>157</v>
      </c>
      <c r="M26" s="704" t="s">
        <v>155</v>
      </c>
      <c r="N26" s="705" t="s">
        <v>157</v>
      </c>
      <c r="O26" s="704" t="s">
        <v>155</v>
      </c>
    </row>
    <row r="27" spans="2:15" x14ac:dyDescent="0.3">
      <c r="I27" s="701"/>
      <c r="J27" s="706">
        <v>44</v>
      </c>
      <c r="K27" s="707">
        <v>45</v>
      </c>
      <c r="L27" s="708">
        <v>47</v>
      </c>
      <c r="M27" s="707">
        <v>43</v>
      </c>
      <c r="N27" s="708">
        <v>43</v>
      </c>
      <c r="O27" s="707">
        <v>46</v>
      </c>
    </row>
    <row r="28" spans="2:15" x14ac:dyDescent="0.3">
      <c r="B28" s="197"/>
      <c r="C28" s="197"/>
      <c r="D28" s="197"/>
      <c r="E28" s="197"/>
      <c r="I28" s="701"/>
      <c r="J28" s="701"/>
      <c r="K28" s="701"/>
      <c r="L28" s="701"/>
      <c r="M28" s="701"/>
      <c r="N28" s="701"/>
      <c r="O28" s="701"/>
    </row>
    <row r="29" spans="2:15" x14ac:dyDescent="0.3">
      <c r="B29" s="68" t="s">
        <v>254</v>
      </c>
      <c r="C29" s="445"/>
      <c r="D29" s="445"/>
      <c r="E29" s="436"/>
      <c r="I29" s="705" t="s">
        <v>255</v>
      </c>
      <c r="J29" s="705">
        <v>1</v>
      </c>
      <c r="K29" s="705">
        <v>1</v>
      </c>
      <c r="L29" s="705">
        <v>0</v>
      </c>
      <c r="M29" s="705">
        <v>0</v>
      </c>
      <c r="N29" s="705">
        <v>1</v>
      </c>
      <c r="O29" s="705">
        <v>1</v>
      </c>
    </row>
    <row r="30" spans="2:15" x14ac:dyDescent="0.3">
      <c r="C30" s="74"/>
      <c r="D30" s="74"/>
      <c r="E30" s="436"/>
      <c r="I30" s="705" t="s">
        <v>256</v>
      </c>
      <c r="J30" s="705">
        <v>13</v>
      </c>
      <c r="K30" s="705">
        <v>7</v>
      </c>
      <c r="L30" s="705">
        <v>4</v>
      </c>
      <c r="M30" s="705">
        <v>2</v>
      </c>
      <c r="N30" s="705">
        <v>9</v>
      </c>
      <c r="O30" s="705">
        <v>5</v>
      </c>
    </row>
    <row r="31" spans="2:15" x14ac:dyDescent="0.3">
      <c r="B31" s="431" t="s">
        <v>257</v>
      </c>
      <c r="C31" s="444">
        <v>45</v>
      </c>
      <c r="D31" s="443"/>
      <c r="E31" s="436"/>
      <c r="I31" s="705" t="s">
        <v>258</v>
      </c>
      <c r="J31" s="705">
        <v>5</v>
      </c>
      <c r="K31" s="705">
        <v>4</v>
      </c>
      <c r="L31" s="705">
        <v>2</v>
      </c>
      <c r="M31" s="705">
        <v>0</v>
      </c>
      <c r="N31" s="705">
        <v>3</v>
      </c>
      <c r="O31" s="705">
        <v>4</v>
      </c>
    </row>
    <row r="32" spans="2:15" x14ac:dyDescent="0.3">
      <c r="B32" s="426" t="s">
        <v>259</v>
      </c>
      <c r="C32" s="74">
        <v>37.5</v>
      </c>
      <c r="D32" s="442" t="s">
        <v>191</v>
      </c>
      <c r="E32" s="436"/>
      <c r="I32" s="701"/>
      <c r="J32" s="701"/>
      <c r="K32" s="701"/>
      <c r="L32" s="701"/>
      <c r="M32" s="701"/>
      <c r="N32" s="701"/>
      <c r="O32" s="701"/>
    </row>
    <row r="33" spans="2:15" x14ac:dyDescent="0.3">
      <c r="B33" s="426"/>
      <c r="C33" s="74"/>
      <c r="D33" s="441"/>
      <c r="E33" s="436"/>
      <c r="I33" s="701"/>
      <c r="J33" s="705">
        <v>19</v>
      </c>
      <c r="K33" s="705">
        <v>12</v>
      </c>
      <c r="L33" s="705">
        <v>6</v>
      </c>
      <c r="M33" s="705">
        <v>2</v>
      </c>
      <c r="N33" s="705">
        <v>13</v>
      </c>
      <c r="O33" s="705">
        <v>10</v>
      </c>
    </row>
    <row r="34" spans="2:15" x14ac:dyDescent="0.3">
      <c r="B34" s="426" t="s">
        <v>260</v>
      </c>
      <c r="C34" s="74">
        <v>28</v>
      </c>
      <c r="D34" s="441"/>
      <c r="E34" s="436"/>
    </row>
    <row r="35" spans="2:15" x14ac:dyDescent="0.3">
      <c r="B35" s="426" t="s">
        <v>261</v>
      </c>
      <c r="C35" s="74">
        <v>1.4</v>
      </c>
      <c r="D35" s="441"/>
      <c r="E35" s="436"/>
    </row>
    <row r="36" spans="2:15" x14ac:dyDescent="0.3">
      <c r="B36" s="426"/>
      <c r="C36" s="74"/>
      <c r="D36" s="441"/>
      <c r="E36" s="436"/>
    </row>
    <row r="37" spans="2:15" x14ac:dyDescent="0.3">
      <c r="B37" s="433" t="s">
        <v>262</v>
      </c>
      <c r="C37" s="440">
        <f>(C34+C35)*C32*C31</f>
        <v>49612.5</v>
      </c>
      <c r="D37" s="439" t="s">
        <v>191</v>
      </c>
      <c r="E37" s="436"/>
    </row>
    <row r="38" spans="2:15" x14ac:dyDescent="0.3">
      <c r="B38" s="423"/>
      <c r="C38" s="438"/>
      <c r="D38" s="437"/>
      <c r="E38" s="436"/>
      <c r="H38" t="s">
        <v>263</v>
      </c>
      <c r="I38" s="72">
        <v>0.81</v>
      </c>
    </row>
    <row r="39" spans="2:15" x14ac:dyDescent="0.3">
      <c r="B39" s="436"/>
      <c r="C39" s="436"/>
      <c r="D39" s="436"/>
      <c r="E39" s="436"/>
      <c r="H39" s="709" t="s">
        <v>264</v>
      </c>
    </row>
    <row r="40" spans="2:15" x14ac:dyDescent="0.3">
      <c r="B40" s="436"/>
      <c r="C40" s="436"/>
      <c r="D40" s="436"/>
      <c r="E40" s="436"/>
    </row>
    <row r="41" spans="2:15" x14ac:dyDescent="0.3">
      <c r="B41" s="436"/>
      <c r="C41" s="436"/>
      <c r="D41" s="436"/>
      <c r="E41" s="436"/>
    </row>
    <row r="42" spans="2:15" x14ac:dyDescent="0.3">
      <c r="B42" s="68" t="s">
        <v>265</v>
      </c>
      <c r="C42" s="445"/>
      <c r="D42" s="445"/>
      <c r="E42" s="436"/>
    </row>
    <row r="43" spans="2:15" ht="15" thickBot="1" x14ac:dyDescent="0.35">
      <c r="C43" s="74"/>
      <c r="D43" s="74"/>
      <c r="E43" s="436"/>
    </row>
    <row r="44" spans="2:15" x14ac:dyDescent="0.3">
      <c r="B44" s="431" t="s">
        <v>257</v>
      </c>
      <c r="C44" s="444">
        <v>45</v>
      </c>
      <c r="D44" s="443"/>
      <c r="E44" s="436"/>
    </row>
    <row r="45" spans="2:15" x14ac:dyDescent="0.3">
      <c r="B45" s="426" t="s">
        <v>259</v>
      </c>
      <c r="C45" s="74">
        <v>37.5</v>
      </c>
      <c r="D45" s="442" t="s">
        <v>191</v>
      </c>
      <c r="E45" s="436"/>
    </row>
    <row r="46" spans="2:15" x14ac:dyDescent="0.3">
      <c r="B46" s="426"/>
      <c r="C46" s="74"/>
      <c r="D46" s="441"/>
      <c r="E46" s="436"/>
    </row>
    <row r="47" spans="2:15" x14ac:dyDescent="0.3">
      <c r="B47" s="426" t="s">
        <v>266</v>
      </c>
      <c r="C47" s="74">
        <v>18</v>
      </c>
      <c r="D47" s="441"/>
      <c r="E47" s="436"/>
    </row>
    <row r="48" spans="2:15" x14ac:dyDescent="0.3">
      <c r="B48" s="426" t="s">
        <v>267</v>
      </c>
      <c r="C48" s="74">
        <v>0.2</v>
      </c>
      <c r="D48" s="441"/>
      <c r="E48" s="436"/>
    </row>
    <row r="49" spans="2:5" x14ac:dyDescent="0.3">
      <c r="B49" s="426"/>
      <c r="C49" s="74"/>
      <c r="D49" s="441"/>
      <c r="E49" s="436"/>
    </row>
    <row r="50" spans="2:5" x14ac:dyDescent="0.3">
      <c r="B50" s="433" t="s">
        <v>262</v>
      </c>
      <c r="C50" s="440">
        <f>(C47+C48)*C45*C44</f>
        <v>30712.5</v>
      </c>
      <c r="D50" s="439" t="s">
        <v>191</v>
      </c>
      <c r="E50" s="436"/>
    </row>
    <row r="51" spans="2:5" ht="15" thickBot="1" x14ac:dyDescent="0.35">
      <c r="B51" s="423"/>
      <c r="C51" s="438"/>
      <c r="D51" s="437"/>
      <c r="E51" s="436"/>
    </row>
    <row r="52" spans="2:5" x14ac:dyDescent="0.3">
      <c r="B52" s="436"/>
      <c r="C52" s="436"/>
      <c r="D52" s="436"/>
      <c r="E52" s="436"/>
    </row>
    <row r="53" spans="2:5" x14ac:dyDescent="0.3">
      <c r="B53" s="436"/>
      <c r="C53" s="436"/>
      <c r="D53" s="436"/>
      <c r="E53" s="436"/>
    </row>
    <row r="54" spans="2:5" x14ac:dyDescent="0.3">
      <c r="B54" s="68" t="s">
        <v>268</v>
      </c>
      <c r="C54" s="445"/>
      <c r="D54" s="445"/>
      <c r="E54" s="436"/>
    </row>
    <row r="55" spans="2:5" ht="15" thickBot="1" x14ac:dyDescent="0.35">
      <c r="C55" s="74"/>
      <c r="D55" s="74"/>
      <c r="E55" s="436"/>
    </row>
    <row r="56" spans="2:5" x14ac:dyDescent="0.3">
      <c r="B56" s="431" t="s">
        <v>257</v>
      </c>
      <c r="C56" s="444">
        <v>45</v>
      </c>
      <c r="D56" s="443"/>
      <c r="E56" s="436"/>
    </row>
    <row r="57" spans="2:5" x14ac:dyDescent="0.3">
      <c r="B57" s="426" t="s">
        <v>259</v>
      </c>
      <c r="C57" s="74">
        <v>37.5</v>
      </c>
      <c r="D57" s="442" t="s">
        <v>191</v>
      </c>
      <c r="E57" s="436"/>
    </row>
    <row r="58" spans="2:5" x14ac:dyDescent="0.3">
      <c r="B58" s="426"/>
      <c r="C58" s="74"/>
      <c r="D58" s="441"/>
      <c r="E58" s="436"/>
    </row>
    <row r="59" spans="2:5" x14ac:dyDescent="0.3">
      <c r="B59" s="426" t="s">
        <v>269</v>
      </c>
      <c r="C59" s="74">
        <v>10</v>
      </c>
      <c r="D59" s="441"/>
      <c r="E59" s="436"/>
    </row>
    <row r="60" spans="2:5" x14ac:dyDescent="0.3">
      <c r="B60" s="426" t="s">
        <v>270</v>
      </c>
      <c r="C60" s="74">
        <v>1.2</v>
      </c>
      <c r="D60" s="441"/>
      <c r="E60" s="436"/>
    </row>
    <row r="61" spans="2:5" x14ac:dyDescent="0.3">
      <c r="B61" s="426"/>
      <c r="C61" s="74"/>
      <c r="D61" s="441"/>
      <c r="E61" s="436"/>
    </row>
    <row r="62" spans="2:5" x14ac:dyDescent="0.3">
      <c r="B62" s="433" t="s">
        <v>262</v>
      </c>
      <c r="C62" s="440">
        <f>(C59+C60)*C57*C56</f>
        <v>18900</v>
      </c>
      <c r="D62" s="439" t="s">
        <v>191</v>
      </c>
      <c r="E62" s="436"/>
    </row>
    <row r="63" spans="2:5" ht="15" thickBot="1" x14ac:dyDescent="0.35">
      <c r="B63" s="423"/>
      <c r="C63" s="438"/>
      <c r="D63" s="437"/>
      <c r="E63" s="436"/>
    </row>
    <row r="64" spans="2:5" x14ac:dyDescent="0.3">
      <c r="B64" s="436"/>
      <c r="C64" s="436"/>
      <c r="D64" s="436"/>
      <c r="E64" s="436"/>
    </row>
    <row r="66" spans="2:9" x14ac:dyDescent="0.3">
      <c r="B66" s="68" t="s">
        <v>271</v>
      </c>
    </row>
    <row r="67" spans="2:9" ht="15" thickBot="1" x14ac:dyDescent="0.35">
      <c r="B67" s="68"/>
    </row>
    <row r="68" spans="2:9" x14ac:dyDescent="0.3">
      <c r="B68" s="431" t="s">
        <v>262</v>
      </c>
      <c r="C68" s="429"/>
      <c r="D68" s="429"/>
      <c r="E68" s="429"/>
      <c r="F68" s="435">
        <f>C50</f>
        <v>30712.5</v>
      </c>
    </row>
    <row r="69" spans="2:9" x14ac:dyDescent="0.3">
      <c r="B69" s="426" t="s">
        <v>272</v>
      </c>
      <c r="F69" s="434">
        <v>2387500</v>
      </c>
    </row>
    <row r="70" spans="2:9" x14ac:dyDescent="0.3">
      <c r="B70" s="426"/>
      <c r="F70" s="424"/>
    </row>
    <row r="71" spans="2:9" x14ac:dyDescent="0.3">
      <c r="B71" s="433" t="s">
        <v>273</v>
      </c>
      <c r="C71" s="68"/>
      <c r="D71" s="68"/>
      <c r="E71" s="68"/>
      <c r="F71" s="432">
        <f>F69/F68</f>
        <v>77.73707773707774</v>
      </c>
    </row>
    <row r="72" spans="2:9" ht="15" thickBot="1" x14ac:dyDescent="0.35">
      <c r="B72" s="423"/>
      <c r="C72" s="62"/>
      <c r="D72" s="62"/>
      <c r="E72" s="62"/>
      <c r="F72" s="422"/>
      <c r="H72">
        <v>77.739999999999995</v>
      </c>
      <c r="I72">
        <v>51.14</v>
      </c>
    </row>
    <row r="73" spans="2:9" x14ac:dyDescent="0.3">
      <c r="H73">
        <f>H72/I72</f>
        <v>1.5201407899882673</v>
      </c>
    </row>
    <row r="74" spans="2:9" x14ac:dyDescent="0.3">
      <c r="B74" s="68" t="s">
        <v>274</v>
      </c>
      <c r="H74" s="72">
        <f>H73</f>
        <v>1.5201407899882673</v>
      </c>
    </row>
    <row r="75" spans="2:9" ht="15" thickBot="1" x14ac:dyDescent="0.35">
      <c r="B75" s="68"/>
    </row>
    <row r="76" spans="2:9" x14ac:dyDescent="0.3">
      <c r="B76" s="431" t="s">
        <v>262</v>
      </c>
      <c r="C76" s="429"/>
      <c r="D76" s="429"/>
      <c r="E76" s="429"/>
      <c r="F76" s="435">
        <f>C62</f>
        <v>18900</v>
      </c>
    </row>
    <row r="77" spans="2:9" x14ac:dyDescent="0.3">
      <c r="B77" s="426" t="s">
        <v>272</v>
      </c>
      <c r="F77" s="434">
        <v>966500</v>
      </c>
    </row>
    <row r="78" spans="2:9" x14ac:dyDescent="0.3">
      <c r="B78" s="426"/>
      <c r="F78" s="424"/>
    </row>
    <row r="79" spans="2:9" x14ac:dyDescent="0.3">
      <c r="B79" s="433" t="s">
        <v>273</v>
      </c>
      <c r="C79" s="68"/>
      <c r="D79" s="68"/>
      <c r="E79" s="68"/>
      <c r="F79" s="432">
        <f>F77/F76</f>
        <v>51.137566137566139</v>
      </c>
    </row>
    <row r="80" spans="2:9" ht="15" thickBot="1" x14ac:dyDescent="0.35">
      <c r="B80" s="423"/>
      <c r="C80" s="62"/>
      <c r="D80" s="62"/>
      <c r="E80" s="62"/>
      <c r="F80" s="422"/>
    </row>
    <row r="83" spans="2:6" x14ac:dyDescent="0.3">
      <c r="B83" s="68" t="s">
        <v>275</v>
      </c>
    </row>
    <row r="84" spans="2:6" ht="15" thickBot="1" x14ac:dyDescent="0.35"/>
    <row r="85" spans="2:6" x14ac:dyDescent="0.3">
      <c r="B85" s="431" t="s">
        <v>276</v>
      </c>
      <c r="C85" s="430">
        <f>F71</f>
        <v>77.73707773707774</v>
      </c>
      <c r="D85" s="429"/>
      <c r="E85" s="429"/>
      <c r="F85" s="428"/>
    </row>
    <row r="86" spans="2:6" x14ac:dyDescent="0.3">
      <c r="B86" s="426" t="s">
        <v>277</v>
      </c>
      <c r="C86" s="427">
        <f>F79</f>
        <v>51.137566137566139</v>
      </c>
      <c r="F86" s="424"/>
    </row>
    <row r="87" spans="2:6" x14ac:dyDescent="0.3">
      <c r="B87" s="426" t="s">
        <v>278</v>
      </c>
      <c r="C87" s="425">
        <f>(C85-C86)/C85</f>
        <v>0.34217277486910996</v>
      </c>
      <c r="F87" s="424"/>
    </row>
    <row r="88" spans="2:6" ht="15" thickBot="1" x14ac:dyDescent="0.35">
      <c r="B88" s="423"/>
      <c r="C88" s="62"/>
      <c r="D88" s="62"/>
      <c r="E88" s="62"/>
      <c r="F88" s="422"/>
    </row>
    <row r="92" spans="2:6" x14ac:dyDescent="0.3">
      <c r="B92" t="s">
        <v>279</v>
      </c>
      <c r="C92" t="s">
        <v>280</v>
      </c>
      <c r="D92" t="s">
        <v>281</v>
      </c>
      <c r="E92" t="s">
        <v>282</v>
      </c>
      <c r="F92" t="s">
        <v>283</v>
      </c>
    </row>
    <row r="93" spans="2:6" x14ac:dyDescent="0.3">
      <c r="B93" t="s">
        <v>284</v>
      </c>
      <c r="C93" t="s">
        <v>157</v>
      </c>
      <c r="D93">
        <v>47.5</v>
      </c>
      <c r="F93">
        <v>47.5</v>
      </c>
    </row>
    <row r="94" spans="2:6" x14ac:dyDescent="0.3">
      <c r="B94" t="s">
        <v>285</v>
      </c>
      <c r="C94" t="s">
        <v>157</v>
      </c>
      <c r="D94">
        <v>12.5</v>
      </c>
      <c r="F94">
        <v>12.5</v>
      </c>
    </row>
    <row r="95" spans="2:6" x14ac:dyDescent="0.3">
      <c r="B95" t="s">
        <v>286</v>
      </c>
      <c r="C95" t="s">
        <v>155</v>
      </c>
      <c r="D95">
        <v>30</v>
      </c>
      <c r="F95">
        <v>30</v>
      </c>
    </row>
    <row r="96" spans="2:6" x14ac:dyDescent="0.3">
      <c r="B96" t="s">
        <v>287</v>
      </c>
      <c r="C96" t="s">
        <v>155</v>
      </c>
      <c r="D96">
        <v>1.5</v>
      </c>
      <c r="F96">
        <v>1.5</v>
      </c>
    </row>
    <row r="97" spans="2:6" x14ac:dyDescent="0.3">
      <c r="B97" t="s">
        <v>288</v>
      </c>
      <c r="C97" t="s">
        <v>157</v>
      </c>
      <c r="D97">
        <v>40.5</v>
      </c>
      <c r="F97">
        <v>40.5</v>
      </c>
    </row>
    <row r="98" spans="2:6" x14ac:dyDescent="0.3">
      <c r="B98" t="s">
        <v>289</v>
      </c>
      <c r="C98" t="s">
        <v>157</v>
      </c>
      <c r="D98">
        <v>31.5</v>
      </c>
      <c r="F98">
        <v>31.5</v>
      </c>
    </row>
    <row r="99" spans="2:6" x14ac:dyDescent="0.3">
      <c r="B99" t="s">
        <v>290</v>
      </c>
      <c r="C99" t="s">
        <v>157</v>
      </c>
      <c r="D99">
        <v>22</v>
      </c>
      <c r="F99">
        <v>22</v>
      </c>
    </row>
    <row r="100" spans="2:6" x14ac:dyDescent="0.3">
      <c r="B100" t="s">
        <v>291</v>
      </c>
      <c r="C100" t="s">
        <v>157</v>
      </c>
      <c r="D100">
        <v>47</v>
      </c>
      <c r="E100">
        <v>37.5</v>
      </c>
      <c r="F100">
        <v>84.5</v>
      </c>
    </row>
    <row r="101" spans="2:6" x14ac:dyDescent="0.3">
      <c r="B101" t="s">
        <v>292</v>
      </c>
      <c r="C101" t="s">
        <v>155</v>
      </c>
      <c r="D101">
        <v>19.5</v>
      </c>
      <c r="F101">
        <v>19.5</v>
      </c>
    </row>
    <row r="102" spans="2:6" x14ac:dyDescent="0.3">
      <c r="B102" t="s">
        <v>293</v>
      </c>
      <c r="C102" t="s">
        <v>157</v>
      </c>
      <c r="D102">
        <v>31</v>
      </c>
      <c r="F102">
        <v>31</v>
      </c>
    </row>
    <row r="103" spans="2:6" x14ac:dyDescent="0.3">
      <c r="B103" t="s">
        <v>294</v>
      </c>
      <c r="C103" t="s">
        <v>157</v>
      </c>
      <c r="D103">
        <v>43</v>
      </c>
      <c r="F103">
        <v>43</v>
      </c>
    </row>
    <row r="104" spans="2:6" x14ac:dyDescent="0.3">
      <c r="B104" t="s">
        <v>295</v>
      </c>
      <c r="C104" t="s">
        <v>157</v>
      </c>
      <c r="D104">
        <v>11.5</v>
      </c>
      <c r="F104">
        <v>11.5</v>
      </c>
    </row>
    <row r="105" spans="2:6" x14ac:dyDescent="0.3">
      <c r="B105" t="s">
        <v>296</v>
      </c>
      <c r="C105" t="s">
        <v>155</v>
      </c>
      <c r="D105">
        <v>13</v>
      </c>
      <c r="F105">
        <v>13</v>
      </c>
    </row>
    <row r="106" spans="2:6" x14ac:dyDescent="0.3">
      <c r="B106" t="s">
        <v>297</v>
      </c>
      <c r="C106" t="s">
        <v>157</v>
      </c>
      <c r="D106">
        <v>13.5</v>
      </c>
      <c r="F106">
        <v>13.5</v>
      </c>
    </row>
    <row r="107" spans="2:6" x14ac:dyDescent="0.3">
      <c r="B107" t="s">
        <v>298</v>
      </c>
      <c r="C107" t="s">
        <v>157</v>
      </c>
      <c r="D107">
        <v>11</v>
      </c>
      <c r="F107">
        <v>11</v>
      </c>
    </row>
    <row r="108" spans="2:6" x14ac:dyDescent="0.3">
      <c r="B108" t="s">
        <v>299</v>
      </c>
      <c r="C108" t="s">
        <v>157</v>
      </c>
      <c r="D108">
        <v>86</v>
      </c>
      <c r="F108">
        <v>86</v>
      </c>
    </row>
    <row r="109" spans="2:6" x14ac:dyDescent="0.3">
      <c r="B109" t="s">
        <v>300</v>
      </c>
      <c r="C109" t="s">
        <v>155</v>
      </c>
      <c r="D109">
        <v>16</v>
      </c>
      <c r="F109">
        <v>16</v>
      </c>
    </row>
    <row r="110" spans="2:6" x14ac:dyDescent="0.3">
      <c r="B110" t="s">
        <v>301</v>
      </c>
      <c r="C110" t="s">
        <v>155</v>
      </c>
      <c r="D110">
        <v>49.5</v>
      </c>
      <c r="F110">
        <v>49.5</v>
      </c>
    </row>
    <row r="111" spans="2:6" x14ac:dyDescent="0.3">
      <c r="B111" t="s">
        <v>302</v>
      </c>
      <c r="C111" t="s">
        <v>155</v>
      </c>
      <c r="D111">
        <v>36.5</v>
      </c>
      <c r="F111">
        <v>36.5</v>
      </c>
    </row>
    <row r="112" spans="2:6" x14ac:dyDescent="0.3">
      <c r="B112" t="s">
        <v>303</v>
      </c>
      <c r="C112" t="s">
        <v>157</v>
      </c>
      <c r="D112">
        <v>53.5</v>
      </c>
      <c r="F112">
        <v>53.5</v>
      </c>
    </row>
    <row r="113" spans="2:6" x14ac:dyDescent="0.3">
      <c r="B113" t="s">
        <v>304</v>
      </c>
      <c r="C113" t="s">
        <v>157</v>
      </c>
      <c r="D113">
        <v>5.5</v>
      </c>
      <c r="F113">
        <v>5.5</v>
      </c>
    </row>
    <row r="114" spans="2:6" x14ac:dyDescent="0.3">
      <c r="B114" t="s">
        <v>305</v>
      </c>
      <c r="C114" t="s">
        <v>157</v>
      </c>
      <c r="D114">
        <v>36.5</v>
      </c>
      <c r="E114">
        <v>15</v>
      </c>
      <c r="F114">
        <v>51.5</v>
      </c>
    </row>
    <row r="115" spans="2:6" x14ac:dyDescent="0.3">
      <c r="B115" t="s">
        <v>306</v>
      </c>
      <c r="C115" t="s">
        <v>157</v>
      </c>
      <c r="D115">
        <v>56.5</v>
      </c>
      <c r="F115">
        <v>56.5</v>
      </c>
    </row>
    <row r="116" spans="2:6" x14ac:dyDescent="0.3">
      <c r="B116" t="s">
        <v>307</v>
      </c>
      <c r="C116" t="s">
        <v>155</v>
      </c>
      <c r="D116">
        <v>33</v>
      </c>
      <c r="F116">
        <v>33</v>
      </c>
    </row>
    <row r="117" spans="2:6" x14ac:dyDescent="0.3">
      <c r="B117" t="s">
        <v>308</v>
      </c>
      <c r="C117" t="s">
        <v>157</v>
      </c>
      <c r="D117">
        <v>8.5</v>
      </c>
      <c r="F117">
        <v>8.5</v>
      </c>
    </row>
    <row r="118" spans="2:6" x14ac:dyDescent="0.3">
      <c r="B118" t="s">
        <v>309</v>
      </c>
      <c r="C118" t="s">
        <v>157</v>
      </c>
      <c r="D118">
        <v>25</v>
      </c>
      <c r="F118">
        <v>25</v>
      </c>
    </row>
    <row r="119" spans="2:6" x14ac:dyDescent="0.3">
      <c r="B119" t="s">
        <v>310</v>
      </c>
      <c r="C119" t="s">
        <v>155</v>
      </c>
      <c r="D119">
        <v>15</v>
      </c>
      <c r="F119">
        <v>15</v>
      </c>
    </row>
    <row r="120" spans="2:6" x14ac:dyDescent="0.3">
      <c r="B120" t="s">
        <v>311</v>
      </c>
      <c r="C120" t="s">
        <v>157</v>
      </c>
      <c r="D120">
        <v>9.5</v>
      </c>
      <c r="F120">
        <v>9.5</v>
      </c>
    </row>
    <row r="121" spans="2:6" x14ac:dyDescent="0.3">
      <c r="B121" t="s">
        <v>312</v>
      </c>
      <c r="C121" t="s">
        <v>155</v>
      </c>
      <c r="D121">
        <v>0.5</v>
      </c>
      <c r="F121">
        <v>0.5</v>
      </c>
    </row>
    <row r="123" spans="2:6" x14ac:dyDescent="0.3">
      <c r="B123" t="s">
        <v>313</v>
      </c>
      <c r="C123" t="s">
        <v>246</v>
      </c>
      <c r="D123">
        <v>859</v>
      </c>
    </row>
    <row r="124" spans="2:6" x14ac:dyDescent="0.3">
      <c r="B124" s="53" t="s">
        <v>314</v>
      </c>
      <c r="D124">
        <f>E3</f>
        <v>31</v>
      </c>
    </row>
    <row r="125" spans="2:6" x14ac:dyDescent="0.3">
      <c r="B125" t="s">
        <v>315</v>
      </c>
      <c r="D125" s="147">
        <f>D123/D124</f>
        <v>27.70967741935484</v>
      </c>
      <c r="E125" t="s">
        <v>316</v>
      </c>
    </row>
    <row r="126" spans="2:6" x14ac:dyDescent="0.3">
      <c r="B126" t="s">
        <v>317</v>
      </c>
      <c r="D126" s="147">
        <f>D123/D3</f>
        <v>45.210526315789473</v>
      </c>
      <c r="E126" t="s">
        <v>316</v>
      </c>
    </row>
    <row r="127" spans="2:6" x14ac:dyDescent="0.3">
      <c r="B127" t="s">
        <v>318</v>
      </c>
      <c r="D127" s="147">
        <f>D123/C3</f>
        <v>71.583333333333329</v>
      </c>
      <c r="E127" t="s">
        <v>316</v>
      </c>
    </row>
    <row r="130" spans="2:6" x14ac:dyDescent="0.3">
      <c r="B130" s="830" t="s">
        <v>319</v>
      </c>
      <c r="C130" s="830"/>
      <c r="D130" s="830"/>
    </row>
    <row r="131" spans="2:6" x14ac:dyDescent="0.3">
      <c r="B131" s="460">
        <v>2.2999999999999998</v>
      </c>
      <c r="C131" s="461" t="s">
        <v>320</v>
      </c>
      <c r="D131" s="461">
        <v>339</v>
      </c>
    </row>
    <row r="132" spans="2:6" x14ac:dyDescent="0.3">
      <c r="C132" t="s">
        <v>321</v>
      </c>
      <c r="D132">
        <f>D131/E3</f>
        <v>10.935483870967742</v>
      </c>
    </row>
    <row r="135" spans="2:6" x14ac:dyDescent="0.3">
      <c r="B135" t="s">
        <v>322</v>
      </c>
    </row>
    <row r="136" spans="2:6" x14ac:dyDescent="0.3">
      <c r="B136" s="462" t="s">
        <v>323</v>
      </c>
      <c r="C136" s="462" t="s">
        <v>279</v>
      </c>
      <c r="D136" s="462" t="s">
        <v>324</v>
      </c>
      <c r="E136" s="462" t="s">
        <v>325</v>
      </c>
      <c r="F136" s="462" t="s">
        <v>316</v>
      </c>
    </row>
    <row r="137" spans="2:6" ht="15" x14ac:dyDescent="0.35">
      <c r="B137" s="463" t="s">
        <v>326</v>
      </c>
      <c r="C137" s="464" t="s">
        <v>302</v>
      </c>
      <c r="D137" s="465"/>
      <c r="E137" s="467">
        <v>45939</v>
      </c>
      <c r="F137" s="466">
        <v>1</v>
      </c>
    </row>
    <row r="138" spans="2:6" ht="15" x14ac:dyDescent="0.35">
      <c r="B138" s="468" t="s">
        <v>326</v>
      </c>
      <c r="C138" s="469" t="s">
        <v>309</v>
      </c>
      <c r="D138" s="470"/>
      <c r="E138" s="472">
        <v>45939</v>
      </c>
      <c r="F138" s="471">
        <v>1</v>
      </c>
    </row>
    <row r="139" spans="2:6" ht="15" x14ac:dyDescent="0.35">
      <c r="B139" s="463" t="s">
        <v>326</v>
      </c>
      <c r="C139" s="464" t="s">
        <v>307</v>
      </c>
      <c r="D139" s="465"/>
      <c r="E139" s="467">
        <v>45939</v>
      </c>
      <c r="F139" s="466">
        <v>1</v>
      </c>
    </row>
    <row r="140" spans="2:6" ht="15" x14ac:dyDescent="0.35">
      <c r="B140" s="468" t="s">
        <v>326</v>
      </c>
      <c r="C140" s="469" t="s">
        <v>310</v>
      </c>
      <c r="D140" s="470"/>
      <c r="E140" s="472">
        <v>45939</v>
      </c>
      <c r="F140" s="471">
        <v>1</v>
      </c>
    </row>
    <row r="141" spans="2:6" ht="15" x14ac:dyDescent="0.35">
      <c r="B141" s="463" t="s">
        <v>326</v>
      </c>
      <c r="C141" s="464" t="s">
        <v>296</v>
      </c>
      <c r="D141" s="465"/>
      <c r="E141" s="467">
        <v>45939</v>
      </c>
      <c r="F141" s="466">
        <v>1</v>
      </c>
    </row>
    <row r="142" spans="2:6" ht="15" x14ac:dyDescent="0.35">
      <c r="B142" s="468" t="s">
        <v>326</v>
      </c>
      <c r="C142" s="469" t="s">
        <v>298</v>
      </c>
      <c r="D142" s="470"/>
      <c r="E142" s="472">
        <v>45939</v>
      </c>
      <c r="F142" s="471">
        <v>1</v>
      </c>
    </row>
    <row r="143" spans="2:6" ht="15" x14ac:dyDescent="0.35">
      <c r="B143" s="463" t="s">
        <v>326</v>
      </c>
      <c r="C143" s="464" t="s">
        <v>299</v>
      </c>
      <c r="D143" s="465"/>
      <c r="E143" s="467">
        <v>45939</v>
      </c>
      <c r="F143" s="466">
        <v>1</v>
      </c>
    </row>
    <row r="144" spans="2:6" ht="15" x14ac:dyDescent="0.35">
      <c r="B144" s="468" t="s">
        <v>326</v>
      </c>
      <c r="C144" s="469" t="s">
        <v>304</v>
      </c>
      <c r="D144" s="470"/>
      <c r="E144" s="472">
        <v>45939</v>
      </c>
      <c r="F144" s="471">
        <v>1</v>
      </c>
    </row>
    <row r="145" spans="2:6" ht="15" x14ac:dyDescent="0.35">
      <c r="B145" s="463" t="s">
        <v>326</v>
      </c>
      <c r="C145" s="464" t="s">
        <v>291</v>
      </c>
      <c r="D145" s="465"/>
      <c r="E145" s="467">
        <v>45939</v>
      </c>
      <c r="F145" s="466">
        <v>1</v>
      </c>
    </row>
    <row r="146" spans="2:6" ht="15" x14ac:dyDescent="0.35">
      <c r="B146" s="468" t="s">
        <v>326</v>
      </c>
      <c r="C146" s="469" t="s">
        <v>303</v>
      </c>
      <c r="D146" s="470"/>
      <c r="E146" s="472">
        <v>45939</v>
      </c>
      <c r="F146" s="471">
        <v>1</v>
      </c>
    </row>
    <row r="147" spans="2:6" ht="15" x14ac:dyDescent="0.35">
      <c r="B147" s="463" t="s">
        <v>326</v>
      </c>
      <c r="C147" s="464" t="s">
        <v>285</v>
      </c>
      <c r="D147" s="465"/>
      <c r="E147" s="467">
        <v>45939</v>
      </c>
      <c r="F147" s="466">
        <v>1</v>
      </c>
    </row>
    <row r="148" spans="2:6" ht="15" x14ac:dyDescent="0.35">
      <c r="B148" s="468" t="s">
        <v>327</v>
      </c>
      <c r="C148" s="469" t="s">
        <v>292</v>
      </c>
      <c r="D148" s="470"/>
      <c r="E148" s="472">
        <v>45925</v>
      </c>
      <c r="F148" s="471">
        <v>1</v>
      </c>
    </row>
    <row r="149" spans="2:6" ht="15" x14ac:dyDescent="0.35">
      <c r="B149" s="463" t="s">
        <v>327</v>
      </c>
      <c r="C149" s="464" t="s">
        <v>302</v>
      </c>
      <c r="D149" s="465"/>
      <c r="E149" s="467">
        <v>45925</v>
      </c>
      <c r="F149" s="466">
        <v>1</v>
      </c>
    </row>
    <row r="150" spans="2:6" ht="15" x14ac:dyDescent="0.35">
      <c r="B150" s="468" t="s">
        <v>327</v>
      </c>
      <c r="C150" s="469" t="s">
        <v>306</v>
      </c>
      <c r="D150" s="470"/>
      <c r="E150" s="472">
        <v>45925</v>
      </c>
      <c r="F150" s="471">
        <v>1</v>
      </c>
    </row>
    <row r="151" spans="2:6" ht="15" x14ac:dyDescent="0.35">
      <c r="B151" s="463" t="s">
        <v>327</v>
      </c>
      <c r="C151" s="464" t="s">
        <v>300</v>
      </c>
      <c r="D151" s="465"/>
      <c r="E151" s="467">
        <v>45925</v>
      </c>
      <c r="F151" s="466">
        <v>1</v>
      </c>
    </row>
    <row r="152" spans="2:6" ht="15" x14ac:dyDescent="0.35">
      <c r="B152" s="468" t="s">
        <v>327</v>
      </c>
      <c r="C152" s="469" t="s">
        <v>309</v>
      </c>
      <c r="D152" s="470"/>
      <c r="E152" s="472">
        <v>45925</v>
      </c>
      <c r="F152" s="471">
        <v>1</v>
      </c>
    </row>
    <row r="153" spans="2:6" ht="15" x14ac:dyDescent="0.35">
      <c r="B153" s="463" t="s">
        <v>327</v>
      </c>
      <c r="C153" s="464" t="s">
        <v>294</v>
      </c>
      <c r="D153" s="465"/>
      <c r="E153" s="467">
        <v>45925</v>
      </c>
      <c r="F153" s="466">
        <v>1</v>
      </c>
    </row>
    <row r="154" spans="2:6" ht="15" x14ac:dyDescent="0.35">
      <c r="B154" s="468" t="s">
        <v>327</v>
      </c>
      <c r="C154" s="469" t="s">
        <v>284</v>
      </c>
      <c r="D154" s="470"/>
      <c r="E154" s="472">
        <v>45925</v>
      </c>
      <c r="F154" s="471">
        <v>1</v>
      </c>
    </row>
    <row r="155" spans="2:6" ht="15" x14ac:dyDescent="0.35">
      <c r="B155" s="463" t="s">
        <v>327</v>
      </c>
      <c r="C155" s="464" t="s">
        <v>301</v>
      </c>
      <c r="D155" s="465"/>
      <c r="E155" s="467">
        <v>45925</v>
      </c>
      <c r="F155" s="466">
        <v>1</v>
      </c>
    </row>
    <row r="156" spans="2:6" ht="15" x14ac:dyDescent="0.35">
      <c r="B156" s="468" t="s">
        <v>327</v>
      </c>
      <c r="C156" s="469" t="s">
        <v>310</v>
      </c>
      <c r="D156" s="470"/>
      <c r="E156" s="472">
        <v>45925</v>
      </c>
      <c r="F156" s="471">
        <v>1</v>
      </c>
    </row>
    <row r="157" spans="2:6" ht="15" x14ac:dyDescent="0.35">
      <c r="B157" s="463" t="s">
        <v>327</v>
      </c>
      <c r="C157" s="464" t="s">
        <v>286</v>
      </c>
      <c r="D157" s="465"/>
      <c r="E157" s="467">
        <v>45925</v>
      </c>
      <c r="F157" s="466">
        <v>1</v>
      </c>
    </row>
    <row r="158" spans="2:6" ht="15" x14ac:dyDescent="0.35">
      <c r="B158" s="468" t="s">
        <v>327</v>
      </c>
      <c r="C158" s="469" t="s">
        <v>298</v>
      </c>
      <c r="D158" s="470"/>
      <c r="E158" s="472">
        <v>45925</v>
      </c>
      <c r="F158" s="471">
        <v>1</v>
      </c>
    </row>
    <row r="159" spans="2:6" ht="15" x14ac:dyDescent="0.35">
      <c r="B159" s="463" t="s">
        <v>327</v>
      </c>
      <c r="C159" s="464" t="s">
        <v>299</v>
      </c>
      <c r="D159" s="465"/>
      <c r="E159" s="467">
        <v>45925</v>
      </c>
      <c r="F159" s="466">
        <v>1</v>
      </c>
    </row>
    <row r="160" spans="2:6" ht="15" x14ac:dyDescent="0.35">
      <c r="B160" s="468" t="s">
        <v>327</v>
      </c>
      <c r="C160" s="469" t="s">
        <v>288</v>
      </c>
      <c r="D160" s="470"/>
      <c r="E160" s="472">
        <v>45925</v>
      </c>
      <c r="F160" s="471">
        <v>1</v>
      </c>
    </row>
    <row r="161" spans="2:6" ht="15" x14ac:dyDescent="0.35">
      <c r="B161" s="463" t="s">
        <v>327</v>
      </c>
      <c r="C161" s="464" t="s">
        <v>303</v>
      </c>
      <c r="D161" s="465"/>
      <c r="E161" s="467">
        <v>45925</v>
      </c>
      <c r="F161" s="466">
        <v>1</v>
      </c>
    </row>
    <row r="162" spans="2:6" ht="15" x14ac:dyDescent="0.35">
      <c r="B162" s="468" t="s">
        <v>328</v>
      </c>
      <c r="C162" s="469" t="s">
        <v>306</v>
      </c>
      <c r="D162" s="470"/>
      <c r="E162" s="474">
        <v>45840</v>
      </c>
      <c r="F162" s="471">
        <v>0.5</v>
      </c>
    </row>
    <row r="163" spans="2:6" ht="15" x14ac:dyDescent="0.35">
      <c r="B163" s="463" t="s">
        <v>328</v>
      </c>
      <c r="C163" s="464" t="s">
        <v>300</v>
      </c>
      <c r="D163" s="465"/>
      <c r="E163" s="476">
        <v>45840</v>
      </c>
      <c r="F163" s="466">
        <v>0.5</v>
      </c>
    </row>
    <row r="164" spans="2:6" ht="15" x14ac:dyDescent="0.35">
      <c r="B164" s="468" t="s">
        <v>329</v>
      </c>
      <c r="C164" s="469" t="s">
        <v>305</v>
      </c>
      <c r="D164" s="470"/>
      <c r="E164" s="472">
        <v>45687</v>
      </c>
      <c r="F164" s="471">
        <v>1</v>
      </c>
    </row>
    <row r="165" spans="2:6" ht="15" x14ac:dyDescent="0.35">
      <c r="B165" s="463" t="s">
        <v>329</v>
      </c>
      <c r="C165" s="464" t="s">
        <v>292</v>
      </c>
      <c r="D165" s="465"/>
      <c r="E165" s="467">
        <v>45687</v>
      </c>
      <c r="F165" s="466">
        <v>1</v>
      </c>
    </row>
    <row r="166" spans="2:6" ht="15" x14ac:dyDescent="0.35">
      <c r="B166" s="468" t="s">
        <v>329</v>
      </c>
      <c r="C166" s="469" t="s">
        <v>302</v>
      </c>
      <c r="D166" s="470"/>
      <c r="E166" s="472">
        <v>45687</v>
      </c>
      <c r="F166" s="471">
        <v>1</v>
      </c>
    </row>
    <row r="167" spans="2:6" ht="15" x14ac:dyDescent="0.35">
      <c r="B167" s="463" t="s">
        <v>329</v>
      </c>
      <c r="C167" s="464" t="s">
        <v>306</v>
      </c>
      <c r="D167" s="465"/>
      <c r="E167" s="467">
        <v>45687</v>
      </c>
      <c r="F167" s="466">
        <v>1</v>
      </c>
    </row>
    <row r="168" spans="2:6" ht="15" x14ac:dyDescent="0.35">
      <c r="B168" s="468" t="s">
        <v>329</v>
      </c>
      <c r="C168" s="469" t="s">
        <v>293</v>
      </c>
      <c r="D168" s="470"/>
      <c r="E168" s="472">
        <v>45687</v>
      </c>
      <c r="F168" s="471">
        <v>1</v>
      </c>
    </row>
    <row r="169" spans="2:6" ht="15" x14ac:dyDescent="0.35">
      <c r="B169" s="463" t="s">
        <v>329</v>
      </c>
      <c r="C169" s="464" t="s">
        <v>295</v>
      </c>
      <c r="D169" s="465"/>
      <c r="E169" s="467">
        <v>45687</v>
      </c>
      <c r="F169" s="466">
        <v>1</v>
      </c>
    </row>
    <row r="170" spans="2:6" ht="15" x14ac:dyDescent="0.35">
      <c r="B170" s="468" t="s">
        <v>329</v>
      </c>
      <c r="C170" s="469" t="s">
        <v>294</v>
      </c>
      <c r="D170" s="470"/>
      <c r="E170" s="472">
        <v>45687</v>
      </c>
      <c r="F170" s="471">
        <v>1</v>
      </c>
    </row>
    <row r="171" spans="2:6" ht="15" x14ac:dyDescent="0.35">
      <c r="B171" s="463" t="s">
        <v>329</v>
      </c>
      <c r="C171" s="464" t="s">
        <v>307</v>
      </c>
      <c r="D171" s="465"/>
      <c r="E171" s="467">
        <v>45687</v>
      </c>
      <c r="F171" s="466">
        <v>1</v>
      </c>
    </row>
    <row r="172" spans="2:6" ht="15" x14ac:dyDescent="0.35">
      <c r="B172" s="468" t="s">
        <v>329</v>
      </c>
      <c r="C172" s="469" t="s">
        <v>284</v>
      </c>
      <c r="D172" s="470"/>
      <c r="E172" s="472">
        <v>45687</v>
      </c>
      <c r="F172" s="471">
        <v>1</v>
      </c>
    </row>
    <row r="173" spans="2:6" ht="15" x14ac:dyDescent="0.35">
      <c r="B173" s="463" t="s">
        <v>329</v>
      </c>
      <c r="C173" s="464" t="s">
        <v>301</v>
      </c>
      <c r="D173" s="465"/>
      <c r="E173" s="467">
        <v>45687</v>
      </c>
      <c r="F173" s="466">
        <v>1</v>
      </c>
    </row>
    <row r="174" spans="2:6" ht="15" x14ac:dyDescent="0.35">
      <c r="B174" s="468" t="s">
        <v>329</v>
      </c>
      <c r="C174" s="469" t="s">
        <v>286</v>
      </c>
      <c r="D174" s="470"/>
      <c r="E174" s="472">
        <v>45687</v>
      </c>
      <c r="F174" s="471">
        <v>1</v>
      </c>
    </row>
    <row r="175" spans="2:6" ht="15" x14ac:dyDescent="0.35">
      <c r="B175" s="463" t="s">
        <v>329</v>
      </c>
      <c r="C175" s="464" t="s">
        <v>288</v>
      </c>
      <c r="D175" s="465"/>
      <c r="E175" s="467">
        <v>45687</v>
      </c>
      <c r="F175" s="466">
        <v>1</v>
      </c>
    </row>
    <row r="176" spans="2:6" ht="15" x14ac:dyDescent="0.35">
      <c r="B176" s="468" t="s">
        <v>329</v>
      </c>
      <c r="C176" s="469" t="s">
        <v>304</v>
      </c>
      <c r="D176" s="470"/>
      <c r="E176" s="472">
        <v>45687</v>
      </c>
      <c r="F176" s="471">
        <v>1</v>
      </c>
    </row>
    <row r="177" spans="2:6" ht="15" x14ac:dyDescent="0.35">
      <c r="B177" s="463" t="s">
        <v>329</v>
      </c>
      <c r="C177" s="464" t="s">
        <v>291</v>
      </c>
      <c r="D177" s="465"/>
      <c r="E177" s="467">
        <v>45687</v>
      </c>
      <c r="F177" s="466">
        <v>1</v>
      </c>
    </row>
    <row r="178" spans="2:6" ht="15" x14ac:dyDescent="0.35">
      <c r="B178" s="468" t="s">
        <v>329</v>
      </c>
      <c r="C178" s="469" t="s">
        <v>303</v>
      </c>
      <c r="D178" s="470"/>
      <c r="E178" s="472">
        <v>45687</v>
      </c>
      <c r="F178" s="471">
        <v>1</v>
      </c>
    </row>
    <row r="179" spans="2:6" ht="15" x14ac:dyDescent="0.35">
      <c r="B179" s="463" t="s">
        <v>329</v>
      </c>
      <c r="C179" s="464" t="s">
        <v>285</v>
      </c>
      <c r="D179" s="465"/>
      <c r="E179" s="467">
        <v>45687</v>
      </c>
      <c r="F179" s="466">
        <v>1</v>
      </c>
    </row>
    <row r="180" spans="2:6" ht="28.8" x14ac:dyDescent="0.3">
      <c r="B180" s="468" t="s">
        <v>330</v>
      </c>
      <c r="C180" s="462" t="s">
        <v>292</v>
      </c>
      <c r="D180" s="473"/>
      <c r="E180" s="473" t="s">
        <v>331</v>
      </c>
      <c r="F180" s="471">
        <v>1</v>
      </c>
    </row>
    <row r="181" spans="2:6" x14ac:dyDescent="0.3">
      <c r="B181" s="463" t="s">
        <v>332</v>
      </c>
      <c r="C181" s="477" t="s">
        <v>289</v>
      </c>
      <c r="D181" s="475"/>
      <c r="E181" s="476">
        <v>45719</v>
      </c>
      <c r="F181" s="466">
        <v>1</v>
      </c>
    </row>
    <row r="182" spans="2:6" x14ac:dyDescent="0.3">
      <c r="B182" s="468" t="s">
        <v>333</v>
      </c>
      <c r="C182" s="462" t="s">
        <v>294</v>
      </c>
      <c r="D182" s="473"/>
      <c r="E182" s="474">
        <v>45667</v>
      </c>
      <c r="F182" s="471">
        <v>1</v>
      </c>
    </row>
    <row r="183" spans="2:6" x14ac:dyDescent="0.3">
      <c r="B183" s="463" t="s">
        <v>333</v>
      </c>
      <c r="C183" s="477" t="s">
        <v>290</v>
      </c>
      <c r="D183" s="475"/>
      <c r="E183" s="476">
        <v>45667</v>
      </c>
      <c r="F183" s="466">
        <v>1</v>
      </c>
    </row>
    <row r="184" spans="2:6" x14ac:dyDescent="0.3">
      <c r="B184" s="468" t="s">
        <v>333</v>
      </c>
      <c r="C184" s="462" t="s">
        <v>298</v>
      </c>
      <c r="D184" s="473"/>
      <c r="E184" s="474">
        <v>45667</v>
      </c>
      <c r="F184" s="471">
        <v>1</v>
      </c>
    </row>
    <row r="185" spans="2:6" x14ac:dyDescent="0.3">
      <c r="B185" s="463" t="s">
        <v>333</v>
      </c>
      <c r="C185" s="477" t="s">
        <v>302</v>
      </c>
      <c r="D185" s="475"/>
      <c r="E185" s="476">
        <v>45667</v>
      </c>
      <c r="F185" s="466">
        <v>1</v>
      </c>
    </row>
    <row r="186" spans="2:6" x14ac:dyDescent="0.3">
      <c r="B186" s="468" t="s">
        <v>333</v>
      </c>
      <c r="C186" s="462" t="s">
        <v>299</v>
      </c>
      <c r="D186" s="473"/>
      <c r="E186" s="474">
        <v>45667</v>
      </c>
      <c r="F186" s="471">
        <v>1</v>
      </c>
    </row>
    <row r="187" spans="2:6" ht="27" x14ac:dyDescent="0.3">
      <c r="B187" s="466" t="s">
        <v>334</v>
      </c>
      <c r="C187" s="477" t="s">
        <v>299</v>
      </c>
      <c r="D187" s="475"/>
      <c r="E187" s="467">
        <v>45679</v>
      </c>
      <c r="F187" s="466">
        <v>5</v>
      </c>
    </row>
    <row r="188" spans="2:6" ht="27" x14ac:dyDescent="0.3">
      <c r="B188" s="471" t="s">
        <v>335</v>
      </c>
      <c r="C188" s="462" t="s">
        <v>299</v>
      </c>
      <c r="D188" s="473"/>
      <c r="E188" s="472">
        <v>45671</v>
      </c>
      <c r="F188" s="471">
        <v>3</v>
      </c>
    </row>
    <row r="189" spans="2:6" ht="53.4" x14ac:dyDescent="0.3">
      <c r="B189" s="466" t="s">
        <v>336</v>
      </c>
      <c r="C189" s="477" t="s">
        <v>299</v>
      </c>
      <c r="D189" s="475"/>
      <c r="E189" s="467">
        <v>45687</v>
      </c>
      <c r="F189" s="466">
        <v>2</v>
      </c>
    </row>
    <row r="190" spans="2:6" ht="27" x14ac:dyDescent="0.3">
      <c r="B190" s="471" t="s">
        <v>337</v>
      </c>
      <c r="C190" s="462" t="s">
        <v>299</v>
      </c>
      <c r="D190" s="473"/>
      <c r="E190" s="472">
        <v>45707</v>
      </c>
      <c r="F190" s="471">
        <v>2</v>
      </c>
    </row>
    <row r="191" spans="2:6" x14ac:dyDescent="0.3">
      <c r="B191" s="466" t="s">
        <v>338</v>
      </c>
      <c r="C191" s="477" t="s">
        <v>299</v>
      </c>
      <c r="D191" s="475"/>
      <c r="E191" s="467">
        <v>45715</v>
      </c>
      <c r="F191" s="466">
        <v>2</v>
      </c>
    </row>
    <row r="192" spans="2:6" ht="27" x14ac:dyDescent="0.3">
      <c r="B192" s="471" t="s">
        <v>339</v>
      </c>
      <c r="C192" s="462" t="s">
        <v>299</v>
      </c>
      <c r="D192" s="473"/>
      <c r="E192" s="472">
        <v>45726</v>
      </c>
      <c r="F192" s="471">
        <v>2</v>
      </c>
    </row>
    <row r="193" spans="2:6" ht="40.200000000000003" x14ac:dyDescent="0.3">
      <c r="B193" s="466" t="s">
        <v>340</v>
      </c>
      <c r="C193" s="477" t="s">
        <v>299</v>
      </c>
      <c r="D193" s="475"/>
      <c r="E193" s="467">
        <v>45736</v>
      </c>
      <c r="F193" s="466">
        <v>1</v>
      </c>
    </row>
    <row r="194" spans="2:6" ht="40.200000000000003" x14ac:dyDescent="0.3">
      <c r="B194" s="471" t="s">
        <v>341</v>
      </c>
      <c r="C194" s="462" t="s">
        <v>299</v>
      </c>
      <c r="D194" s="473"/>
      <c r="E194" s="472">
        <v>45791</v>
      </c>
      <c r="F194" s="471">
        <v>3</v>
      </c>
    </row>
    <row r="195" spans="2:6" ht="27" x14ac:dyDescent="0.3">
      <c r="B195" s="466" t="s">
        <v>342</v>
      </c>
      <c r="C195" s="477" t="s">
        <v>299</v>
      </c>
      <c r="D195" s="475"/>
      <c r="E195" s="467">
        <v>45797</v>
      </c>
      <c r="F195" s="466">
        <v>3</v>
      </c>
    </row>
    <row r="196" spans="2:6" x14ac:dyDescent="0.3">
      <c r="B196" s="471" t="s">
        <v>343</v>
      </c>
      <c r="C196" s="462" t="s">
        <v>299</v>
      </c>
      <c r="D196" s="473"/>
      <c r="E196" s="472">
        <v>45799</v>
      </c>
      <c r="F196" s="471">
        <v>2</v>
      </c>
    </row>
    <row r="197" spans="2:6" ht="40.200000000000003" x14ac:dyDescent="0.3">
      <c r="B197" s="466" t="s">
        <v>344</v>
      </c>
      <c r="C197" s="477" t="s">
        <v>299</v>
      </c>
      <c r="D197" s="475"/>
      <c r="E197" s="467">
        <v>45800</v>
      </c>
      <c r="F197" s="466">
        <v>3</v>
      </c>
    </row>
    <row r="198" spans="2:6" ht="27" x14ac:dyDescent="0.3">
      <c r="B198" s="471" t="s">
        <v>345</v>
      </c>
      <c r="C198" s="462" t="s">
        <v>299</v>
      </c>
      <c r="D198" s="473"/>
      <c r="E198" s="472">
        <v>45792</v>
      </c>
      <c r="F198" s="471">
        <v>4</v>
      </c>
    </row>
    <row r="199" spans="2:6" ht="66.599999999999994" x14ac:dyDescent="0.3">
      <c r="B199" s="466" t="s">
        <v>346</v>
      </c>
      <c r="C199" s="477" t="s">
        <v>299</v>
      </c>
      <c r="D199" s="475"/>
      <c r="E199" s="467">
        <v>45854</v>
      </c>
      <c r="F199" s="466">
        <v>4</v>
      </c>
    </row>
    <row r="200" spans="2:6" x14ac:dyDescent="0.3">
      <c r="B200" s="471" t="s">
        <v>347</v>
      </c>
      <c r="C200" s="462" t="s">
        <v>299</v>
      </c>
      <c r="D200" s="473"/>
      <c r="E200" s="472">
        <v>45988</v>
      </c>
      <c r="F200" s="471">
        <v>8</v>
      </c>
    </row>
    <row r="201" spans="2:6" x14ac:dyDescent="0.3">
      <c r="B201" s="466" t="s">
        <v>348</v>
      </c>
      <c r="C201" s="477" t="s">
        <v>306</v>
      </c>
      <c r="D201" s="475"/>
      <c r="E201" s="467">
        <v>45660</v>
      </c>
      <c r="F201" s="466">
        <v>0.5</v>
      </c>
    </row>
    <row r="202" spans="2:6" ht="27" x14ac:dyDescent="0.3">
      <c r="B202" s="471" t="s">
        <v>349</v>
      </c>
      <c r="C202" s="462" t="s">
        <v>306</v>
      </c>
      <c r="D202" s="473"/>
      <c r="E202" s="472">
        <v>45660</v>
      </c>
      <c r="F202" s="471">
        <v>1</v>
      </c>
    </row>
    <row r="203" spans="2:6" ht="27" x14ac:dyDescent="0.3">
      <c r="B203" s="466" t="s">
        <v>350</v>
      </c>
      <c r="C203" s="477" t="s">
        <v>306</v>
      </c>
      <c r="D203" s="475"/>
      <c r="E203" s="467">
        <v>45699</v>
      </c>
      <c r="F203" s="466">
        <v>1.5</v>
      </c>
    </row>
    <row r="204" spans="2:6" x14ac:dyDescent="0.3">
      <c r="B204" s="471" t="s">
        <v>351</v>
      </c>
      <c r="C204" s="462" t="s">
        <v>306</v>
      </c>
      <c r="D204" s="473"/>
      <c r="E204" s="472">
        <v>45706</v>
      </c>
      <c r="F204" s="471">
        <v>2</v>
      </c>
    </row>
    <row r="205" spans="2:6" ht="40.200000000000003" x14ac:dyDescent="0.3">
      <c r="B205" s="466" t="s">
        <v>352</v>
      </c>
      <c r="C205" s="477" t="s">
        <v>306</v>
      </c>
      <c r="D205" s="475"/>
      <c r="E205" s="467">
        <v>45713</v>
      </c>
      <c r="F205" s="466">
        <v>2</v>
      </c>
    </row>
    <row r="206" spans="2:6" ht="27" x14ac:dyDescent="0.3">
      <c r="B206" s="471" t="s">
        <v>353</v>
      </c>
      <c r="C206" s="462" t="s">
        <v>306</v>
      </c>
      <c r="D206" s="473"/>
      <c r="E206" s="472">
        <v>45762</v>
      </c>
      <c r="F206" s="471">
        <v>1</v>
      </c>
    </row>
    <row r="207" spans="2:6" x14ac:dyDescent="0.3">
      <c r="B207" s="478"/>
      <c r="C207" s="478"/>
      <c r="D207" s="478"/>
      <c r="E207" s="478"/>
      <c r="F207" s="478"/>
    </row>
    <row r="208" spans="2:6" x14ac:dyDescent="0.3">
      <c r="B208" s="479" t="s">
        <v>354</v>
      </c>
      <c r="C208" s="480"/>
      <c r="D208" s="480"/>
      <c r="E208" s="480"/>
      <c r="F208" s="480">
        <v>101</v>
      </c>
    </row>
    <row r="209" spans="2:10" x14ac:dyDescent="0.3">
      <c r="B209" s="478"/>
      <c r="C209" s="478"/>
      <c r="D209" s="478"/>
      <c r="E209" s="478"/>
      <c r="F209" s="478"/>
    </row>
    <row r="210" spans="2:10" ht="27" x14ac:dyDescent="0.3">
      <c r="B210" s="479" t="s">
        <v>355</v>
      </c>
      <c r="C210" s="480"/>
      <c r="D210" s="480"/>
      <c r="E210" s="480"/>
      <c r="F210" s="480">
        <v>3.26</v>
      </c>
    </row>
    <row r="215" spans="2:10" ht="14.4" customHeight="1" x14ac:dyDescent="0.35">
      <c r="B215" s="481" t="s">
        <v>356</v>
      </c>
      <c r="C215" s="482" t="s">
        <v>357</v>
      </c>
      <c r="D215" s="482" t="s">
        <v>358</v>
      </c>
      <c r="E215" s="482" t="s">
        <v>359</v>
      </c>
      <c r="F215" s="482" t="s">
        <v>281</v>
      </c>
      <c r="G215" s="831" t="s">
        <v>360</v>
      </c>
      <c r="H215" s="831"/>
      <c r="I215" s="831" t="s">
        <v>361</v>
      </c>
      <c r="J215" s="831"/>
    </row>
    <row r="216" spans="2:10" x14ac:dyDescent="0.3">
      <c r="B216" s="483" t="s">
        <v>284</v>
      </c>
      <c r="C216" s="484" t="s">
        <v>356</v>
      </c>
      <c r="D216" s="484" t="s">
        <v>356</v>
      </c>
      <c r="E216" s="484" t="s">
        <v>362</v>
      </c>
      <c r="F216" s="484">
        <v>0.5</v>
      </c>
      <c r="G216" s="828" t="s">
        <v>363</v>
      </c>
      <c r="H216" s="828"/>
      <c r="I216" s="486" t="s">
        <v>364</v>
      </c>
      <c r="J216" s="486"/>
    </row>
    <row r="217" spans="2:10" x14ac:dyDescent="0.3">
      <c r="B217" s="483" t="s">
        <v>285</v>
      </c>
      <c r="C217" s="484" t="s">
        <v>356</v>
      </c>
      <c r="D217" s="484" t="s">
        <v>356</v>
      </c>
      <c r="E217" s="484" t="s">
        <v>362</v>
      </c>
      <c r="F217" s="484">
        <v>0.5</v>
      </c>
      <c r="G217" s="828" t="s">
        <v>363</v>
      </c>
      <c r="H217" s="828"/>
      <c r="I217" s="486" t="s">
        <v>364</v>
      </c>
      <c r="J217" s="486"/>
    </row>
    <row r="218" spans="2:10" x14ac:dyDescent="0.3">
      <c r="B218" t="s">
        <v>286</v>
      </c>
      <c r="C218" s="484" t="s">
        <v>356</v>
      </c>
      <c r="D218" s="484" t="s">
        <v>356</v>
      </c>
      <c r="E218" s="484" t="s">
        <v>362</v>
      </c>
      <c r="F218" s="484">
        <v>0.5</v>
      </c>
      <c r="G218" s="484" t="s">
        <v>363</v>
      </c>
      <c r="H218" s="487" t="s">
        <v>356</v>
      </c>
      <c r="I218" s="486" t="s">
        <v>364</v>
      </c>
      <c r="J218" s="486"/>
    </row>
    <row r="219" spans="2:10" x14ac:dyDescent="0.3">
      <c r="B219" t="s">
        <v>287</v>
      </c>
      <c r="C219" s="488">
        <v>2025</v>
      </c>
      <c r="D219" s="484" t="s">
        <v>356</v>
      </c>
      <c r="E219" s="484" t="s">
        <v>362</v>
      </c>
      <c r="F219" s="484">
        <v>0.5</v>
      </c>
      <c r="G219" s="484" t="s">
        <v>363</v>
      </c>
      <c r="H219" s="487" t="s">
        <v>356</v>
      </c>
      <c r="I219" s="486" t="s">
        <v>364</v>
      </c>
      <c r="J219" s="486"/>
    </row>
    <row r="220" spans="2:10" x14ac:dyDescent="0.3">
      <c r="B220" t="s">
        <v>288</v>
      </c>
      <c r="C220" s="484" t="s">
        <v>246</v>
      </c>
      <c r="D220" s="484" t="s">
        <v>356</v>
      </c>
      <c r="E220" s="484" t="s">
        <v>362</v>
      </c>
      <c r="F220" s="484">
        <v>0.5</v>
      </c>
      <c r="G220" s="484" t="s">
        <v>363</v>
      </c>
      <c r="H220" s="487" t="s">
        <v>356</v>
      </c>
      <c r="I220" s="486" t="s">
        <v>364</v>
      </c>
      <c r="J220" s="486"/>
    </row>
    <row r="221" spans="2:10" x14ac:dyDescent="0.3">
      <c r="B221" t="s">
        <v>289</v>
      </c>
      <c r="C221" s="484" t="s">
        <v>246</v>
      </c>
      <c r="D221" s="484" t="s">
        <v>356</v>
      </c>
      <c r="E221" s="484" t="s">
        <v>362</v>
      </c>
      <c r="F221" s="484">
        <v>0.5</v>
      </c>
      <c r="G221" s="484" t="s">
        <v>363</v>
      </c>
      <c r="H221" s="487" t="s">
        <v>356</v>
      </c>
      <c r="I221" s="486" t="s">
        <v>364</v>
      </c>
      <c r="J221" s="486"/>
    </row>
    <row r="222" spans="2:10" x14ac:dyDescent="0.3">
      <c r="B222" t="s">
        <v>290</v>
      </c>
      <c r="C222" s="484" t="s">
        <v>356</v>
      </c>
      <c r="D222" s="484" t="s">
        <v>356</v>
      </c>
      <c r="E222" s="484" t="s">
        <v>362</v>
      </c>
      <c r="F222" s="484">
        <v>0.5</v>
      </c>
      <c r="G222" s="484" t="s">
        <v>363</v>
      </c>
      <c r="H222" s="487" t="s">
        <v>356</v>
      </c>
      <c r="I222" s="486" t="s">
        <v>364</v>
      </c>
      <c r="J222" s="486"/>
    </row>
    <row r="223" spans="2:10" x14ac:dyDescent="0.3">
      <c r="B223" t="s">
        <v>291</v>
      </c>
      <c r="C223" s="484" t="s">
        <v>356</v>
      </c>
      <c r="D223" s="484" t="s">
        <v>365</v>
      </c>
      <c r="E223" s="484" t="s">
        <v>362</v>
      </c>
      <c r="F223" s="484">
        <v>0.5</v>
      </c>
      <c r="G223" s="484" t="s">
        <v>363</v>
      </c>
      <c r="H223" s="487" t="s">
        <v>356</v>
      </c>
      <c r="I223" s="486" t="s">
        <v>364</v>
      </c>
      <c r="J223" s="486"/>
    </row>
    <row r="224" spans="2:10" x14ac:dyDescent="0.3">
      <c r="B224" t="s">
        <v>292</v>
      </c>
      <c r="C224" s="484" t="s">
        <v>356</v>
      </c>
      <c r="D224" s="484" t="s">
        <v>356</v>
      </c>
      <c r="E224" s="484" t="s">
        <v>362</v>
      </c>
      <c r="F224" s="484">
        <v>0.5</v>
      </c>
      <c r="G224" s="484" t="s">
        <v>363</v>
      </c>
      <c r="H224" s="487" t="s">
        <v>356</v>
      </c>
      <c r="I224" s="486" t="s">
        <v>364</v>
      </c>
      <c r="J224" s="486"/>
    </row>
    <row r="225" spans="2:10" x14ac:dyDescent="0.3">
      <c r="B225" t="s">
        <v>293</v>
      </c>
      <c r="C225" s="484" t="s">
        <v>356</v>
      </c>
      <c r="D225" s="484" t="s">
        <v>356</v>
      </c>
      <c r="E225" s="484" t="s">
        <v>362</v>
      </c>
      <c r="F225" s="484">
        <v>0.5</v>
      </c>
      <c r="G225" s="484" t="s">
        <v>363</v>
      </c>
      <c r="H225" s="487" t="s">
        <v>356</v>
      </c>
      <c r="I225" s="486" t="s">
        <v>364</v>
      </c>
      <c r="J225" s="486"/>
    </row>
    <row r="226" spans="2:10" x14ac:dyDescent="0.3">
      <c r="B226" t="s">
        <v>294</v>
      </c>
      <c r="C226" s="484" t="s">
        <v>356</v>
      </c>
      <c r="D226" s="484" t="s">
        <v>356</v>
      </c>
      <c r="E226" s="484" t="s">
        <v>362</v>
      </c>
      <c r="F226" s="484">
        <v>0.5</v>
      </c>
      <c r="G226" s="484" t="s">
        <v>363</v>
      </c>
      <c r="H226" s="487" t="s">
        <v>356</v>
      </c>
      <c r="I226" s="486" t="s">
        <v>364</v>
      </c>
      <c r="J226" s="486"/>
    </row>
    <row r="227" spans="2:10" x14ac:dyDescent="0.3">
      <c r="B227" t="s">
        <v>295</v>
      </c>
      <c r="C227" s="484" t="s">
        <v>356</v>
      </c>
      <c r="D227" s="484" t="s">
        <v>356</v>
      </c>
      <c r="E227" s="484" t="s">
        <v>362</v>
      </c>
      <c r="F227" s="484">
        <v>0.5</v>
      </c>
      <c r="G227" s="484" t="s">
        <v>363</v>
      </c>
      <c r="H227" s="487" t="s">
        <v>356</v>
      </c>
      <c r="I227" s="486" t="s">
        <v>364</v>
      </c>
      <c r="J227" s="486"/>
    </row>
    <row r="228" spans="2:10" x14ac:dyDescent="0.3">
      <c r="B228" t="s">
        <v>296</v>
      </c>
      <c r="C228" s="484" t="s">
        <v>356</v>
      </c>
      <c r="D228" s="484" t="s">
        <v>356</v>
      </c>
      <c r="E228" s="484" t="s">
        <v>362</v>
      </c>
      <c r="F228" s="484">
        <v>0.5</v>
      </c>
      <c r="G228" s="484" t="s">
        <v>363</v>
      </c>
      <c r="H228" s="487" t="s">
        <v>356</v>
      </c>
      <c r="I228" s="486" t="s">
        <v>364</v>
      </c>
      <c r="J228" s="486"/>
    </row>
    <row r="229" spans="2:10" x14ac:dyDescent="0.3">
      <c r="B229" t="s">
        <v>297</v>
      </c>
      <c r="C229" s="484" t="s">
        <v>356</v>
      </c>
      <c r="D229" s="484" t="s">
        <v>356</v>
      </c>
      <c r="E229" s="484" t="s">
        <v>362</v>
      </c>
      <c r="F229" s="484">
        <v>0.5</v>
      </c>
      <c r="G229" s="484" t="s">
        <v>363</v>
      </c>
      <c r="H229" s="487" t="s">
        <v>356</v>
      </c>
      <c r="I229" s="486" t="s">
        <v>364</v>
      </c>
      <c r="J229" s="486"/>
    </row>
    <row r="230" spans="2:10" x14ac:dyDescent="0.3">
      <c r="B230" t="s">
        <v>298</v>
      </c>
      <c r="C230" s="484" t="s">
        <v>356</v>
      </c>
      <c r="D230" s="484" t="s">
        <v>356</v>
      </c>
      <c r="E230" s="484" t="s">
        <v>362</v>
      </c>
      <c r="F230" s="484">
        <v>0.5</v>
      </c>
      <c r="G230" s="484" t="s">
        <v>363</v>
      </c>
      <c r="H230" s="487" t="s">
        <v>356</v>
      </c>
      <c r="I230" s="486" t="s">
        <v>364</v>
      </c>
      <c r="J230" s="486"/>
    </row>
    <row r="231" spans="2:10" x14ac:dyDescent="0.3">
      <c r="B231" t="s">
        <v>299</v>
      </c>
      <c r="C231" s="484" t="s">
        <v>356</v>
      </c>
      <c r="D231" s="484" t="s">
        <v>356</v>
      </c>
      <c r="E231" s="484" t="s">
        <v>362</v>
      </c>
      <c r="F231" s="484">
        <v>0.5</v>
      </c>
      <c r="G231" s="484" t="s">
        <v>363</v>
      </c>
      <c r="H231" s="487" t="s">
        <v>356</v>
      </c>
      <c r="I231" s="486" t="s">
        <v>364</v>
      </c>
      <c r="J231" s="486"/>
    </row>
    <row r="232" spans="2:10" x14ac:dyDescent="0.3">
      <c r="B232" t="s">
        <v>300</v>
      </c>
      <c r="C232" s="484" t="s">
        <v>356</v>
      </c>
      <c r="D232" s="484" t="s">
        <v>356</v>
      </c>
      <c r="E232" s="484" t="s">
        <v>362</v>
      </c>
      <c r="F232" s="484">
        <v>0.5</v>
      </c>
      <c r="G232" s="484" t="s">
        <v>363</v>
      </c>
      <c r="H232" s="487" t="s">
        <v>356</v>
      </c>
      <c r="I232" s="486" t="s">
        <v>364</v>
      </c>
      <c r="J232" s="486"/>
    </row>
    <row r="233" spans="2:10" x14ac:dyDescent="0.3">
      <c r="B233" t="s">
        <v>301</v>
      </c>
      <c r="C233" s="484" t="s">
        <v>356</v>
      </c>
      <c r="D233" s="484" t="s">
        <v>356</v>
      </c>
      <c r="E233" s="484" t="s">
        <v>362</v>
      </c>
      <c r="F233" s="484">
        <v>0.5</v>
      </c>
      <c r="G233" s="484" t="s">
        <v>363</v>
      </c>
      <c r="H233" s="487" t="s">
        <v>356</v>
      </c>
      <c r="I233" s="486" t="s">
        <v>364</v>
      </c>
      <c r="J233" s="486"/>
    </row>
    <row r="234" spans="2:10" x14ac:dyDescent="0.3">
      <c r="B234" t="s">
        <v>302</v>
      </c>
      <c r="C234" s="484" t="s">
        <v>356</v>
      </c>
      <c r="D234" s="484" t="s">
        <v>356</v>
      </c>
      <c r="E234" s="484" t="s">
        <v>362</v>
      </c>
      <c r="F234" s="484">
        <v>0.5</v>
      </c>
      <c r="G234" s="484" t="s">
        <v>363</v>
      </c>
      <c r="H234" s="487" t="s">
        <v>356</v>
      </c>
      <c r="I234" s="486" t="s">
        <v>364</v>
      </c>
      <c r="J234" s="486"/>
    </row>
    <row r="235" spans="2:10" x14ac:dyDescent="0.3">
      <c r="B235" t="s">
        <v>303</v>
      </c>
      <c r="C235" s="484" t="s">
        <v>356</v>
      </c>
      <c r="D235" s="484" t="s">
        <v>356</v>
      </c>
      <c r="E235" s="484" t="s">
        <v>362</v>
      </c>
      <c r="F235" s="484">
        <v>0.5</v>
      </c>
      <c r="G235" s="484" t="s">
        <v>363</v>
      </c>
      <c r="H235" s="487" t="s">
        <v>356</v>
      </c>
      <c r="I235" s="486" t="s">
        <v>364</v>
      </c>
      <c r="J235" s="486"/>
    </row>
    <row r="236" spans="2:10" x14ac:dyDescent="0.3">
      <c r="B236" t="s">
        <v>304</v>
      </c>
      <c r="C236" s="484" t="s">
        <v>356</v>
      </c>
      <c r="D236" s="484" t="s">
        <v>356</v>
      </c>
      <c r="E236" s="484" t="s">
        <v>362</v>
      </c>
      <c r="F236" s="484">
        <v>0.5</v>
      </c>
      <c r="G236" s="484" t="s">
        <v>363</v>
      </c>
      <c r="H236" s="487" t="s">
        <v>356</v>
      </c>
      <c r="I236" s="486" t="s">
        <v>364</v>
      </c>
      <c r="J236" s="486"/>
    </row>
    <row r="237" spans="2:10" x14ac:dyDescent="0.3">
      <c r="B237" t="s">
        <v>305</v>
      </c>
      <c r="C237" s="484" t="s">
        <v>356</v>
      </c>
      <c r="D237" s="484" t="s">
        <v>356</v>
      </c>
      <c r="E237" s="484" t="s">
        <v>362</v>
      </c>
      <c r="F237" s="484">
        <v>0.5</v>
      </c>
      <c r="G237" s="484" t="s">
        <v>363</v>
      </c>
      <c r="H237" s="487" t="s">
        <v>356</v>
      </c>
      <c r="I237" s="486" t="s">
        <v>364</v>
      </c>
      <c r="J237" s="486"/>
    </row>
    <row r="238" spans="2:10" x14ac:dyDescent="0.3">
      <c r="B238" t="s">
        <v>306</v>
      </c>
      <c r="C238" s="484" t="s">
        <v>356</v>
      </c>
      <c r="D238" s="484" t="s">
        <v>356</v>
      </c>
      <c r="E238" s="484" t="s">
        <v>362</v>
      </c>
      <c r="F238" s="484">
        <v>0.5</v>
      </c>
      <c r="G238" s="484" t="s">
        <v>363</v>
      </c>
      <c r="H238" s="487" t="s">
        <v>356</v>
      </c>
      <c r="I238" s="486" t="s">
        <v>364</v>
      </c>
      <c r="J238" s="486"/>
    </row>
    <row r="239" spans="2:10" x14ac:dyDescent="0.3">
      <c r="B239" t="s">
        <v>307</v>
      </c>
      <c r="C239" s="484" t="s">
        <v>356</v>
      </c>
      <c r="D239" s="484" t="s">
        <v>356</v>
      </c>
      <c r="E239" s="484" t="s">
        <v>362</v>
      </c>
      <c r="F239" s="484">
        <v>0.5</v>
      </c>
      <c r="G239" s="484" t="s">
        <v>363</v>
      </c>
      <c r="H239" s="487" t="s">
        <v>356</v>
      </c>
      <c r="I239" s="486" t="s">
        <v>364</v>
      </c>
      <c r="J239" s="486"/>
    </row>
    <row r="240" spans="2:10" x14ac:dyDescent="0.3">
      <c r="B240" t="s">
        <v>308</v>
      </c>
      <c r="C240" s="484" t="s">
        <v>356</v>
      </c>
      <c r="D240" s="484" t="s">
        <v>356</v>
      </c>
      <c r="E240" s="484" t="s">
        <v>362</v>
      </c>
      <c r="F240" s="484">
        <v>0.5</v>
      </c>
      <c r="G240" s="484" t="s">
        <v>363</v>
      </c>
      <c r="H240" s="487" t="s">
        <v>356</v>
      </c>
      <c r="I240" s="486" t="s">
        <v>364</v>
      </c>
      <c r="J240" s="486"/>
    </row>
    <row r="241" spans="2:10" ht="14.4" customHeight="1" x14ac:dyDescent="0.3">
      <c r="B241" t="s">
        <v>309</v>
      </c>
      <c r="C241" s="485" t="s">
        <v>356</v>
      </c>
      <c r="D241" s="485" t="s">
        <v>356</v>
      </c>
      <c r="E241" s="485" t="s">
        <v>362</v>
      </c>
      <c r="F241" s="485">
        <v>0.5</v>
      </c>
      <c r="G241" s="828" t="s">
        <v>365</v>
      </c>
      <c r="H241" s="829"/>
      <c r="I241" s="486" t="s">
        <v>364</v>
      </c>
      <c r="J241" s="486"/>
    </row>
    <row r="242" spans="2:10" x14ac:dyDescent="0.3">
      <c r="B242" t="s">
        <v>310</v>
      </c>
      <c r="F242">
        <f>SUM(F216:F241)</f>
        <v>13</v>
      </c>
    </row>
    <row r="243" spans="2:10" x14ac:dyDescent="0.3">
      <c r="E243" t="s">
        <v>366</v>
      </c>
      <c r="F243">
        <f>F242/E3</f>
        <v>0.41935483870967744</v>
      </c>
    </row>
    <row r="246" spans="2:10" ht="14.4" customHeight="1" x14ac:dyDescent="0.35">
      <c r="C246" s="481" t="s">
        <v>357</v>
      </c>
      <c r="D246" s="482" t="s">
        <v>358</v>
      </c>
      <c r="E246" s="482" t="s">
        <v>359</v>
      </c>
      <c r="F246" s="482" t="s">
        <v>281</v>
      </c>
      <c r="G246" s="831" t="s">
        <v>360</v>
      </c>
      <c r="H246" s="832"/>
      <c r="I246" s="831" t="s">
        <v>361</v>
      </c>
      <c r="J246" s="832"/>
    </row>
    <row r="247" spans="2:10" x14ac:dyDescent="0.3">
      <c r="C247" s="489">
        <v>45945</v>
      </c>
      <c r="D247" s="484" t="s">
        <v>356</v>
      </c>
      <c r="E247" s="484" t="s">
        <v>367</v>
      </c>
      <c r="F247" s="484">
        <v>1</v>
      </c>
      <c r="G247" s="828" t="s">
        <v>368</v>
      </c>
      <c r="H247" s="829"/>
      <c r="I247" s="486" t="s">
        <v>364</v>
      </c>
      <c r="J247" s="486"/>
    </row>
    <row r="248" spans="2:10" x14ac:dyDescent="0.3">
      <c r="C248" s="489">
        <v>45945</v>
      </c>
      <c r="D248" s="484" t="s">
        <v>356</v>
      </c>
      <c r="E248" s="484" t="s">
        <v>367</v>
      </c>
      <c r="F248" s="484">
        <v>1</v>
      </c>
      <c r="G248" s="828" t="s">
        <v>368</v>
      </c>
      <c r="H248" s="829"/>
      <c r="I248" s="486" t="s">
        <v>364</v>
      </c>
      <c r="J248" s="486"/>
    </row>
    <row r="249" spans="2:10" x14ac:dyDescent="0.3">
      <c r="C249" s="489">
        <v>45945</v>
      </c>
      <c r="D249" s="484" t="s">
        <v>356</v>
      </c>
      <c r="E249" s="484" t="s">
        <v>367</v>
      </c>
      <c r="F249" s="484">
        <v>1</v>
      </c>
      <c r="G249" s="828" t="s">
        <v>368</v>
      </c>
      <c r="H249" s="829"/>
      <c r="I249" s="486" t="s">
        <v>364</v>
      </c>
      <c r="J249" s="486"/>
    </row>
    <row r="250" spans="2:10" x14ac:dyDescent="0.3">
      <c r="C250" s="489">
        <v>45945</v>
      </c>
      <c r="D250" s="484" t="s">
        <v>356</v>
      </c>
      <c r="E250" s="484" t="s">
        <v>367</v>
      </c>
      <c r="F250" s="484">
        <v>1</v>
      </c>
      <c r="G250" s="828" t="s">
        <v>368</v>
      </c>
      <c r="H250" s="829"/>
      <c r="I250" s="486" t="s">
        <v>364</v>
      </c>
      <c r="J250" s="486"/>
    </row>
    <row r="251" spans="2:10" x14ac:dyDescent="0.3">
      <c r="C251" s="489">
        <v>45945</v>
      </c>
      <c r="D251" s="484" t="s">
        <v>356</v>
      </c>
      <c r="E251" s="484" t="s">
        <v>367</v>
      </c>
      <c r="F251" s="484">
        <v>1</v>
      </c>
      <c r="G251" s="828" t="s">
        <v>368</v>
      </c>
      <c r="H251" s="829"/>
      <c r="I251" s="486" t="s">
        <v>364</v>
      </c>
      <c r="J251" s="486"/>
    </row>
    <row r="252" spans="2:10" x14ac:dyDescent="0.3">
      <c r="C252" s="489">
        <v>45945</v>
      </c>
      <c r="D252" s="484" t="s">
        <v>356</v>
      </c>
      <c r="E252" s="484" t="s">
        <v>367</v>
      </c>
      <c r="F252" s="484">
        <v>1</v>
      </c>
      <c r="G252" s="828" t="s">
        <v>368</v>
      </c>
      <c r="H252" s="829"/>
      <c r="I252" s="486" t="s">
        <v>364</v>
      </c>
      <c r="J252" s="486"/>
    </row>
    <row r="253" spans="2:10" x14ac:dyDescent="0.3">
      <c r="C253" s="489">
        <v>45945</v>
      </c>
      <c r="D253" s="484" t="s">
        <v>356</v>
      </c>
      <c r="E253" s="484" t="s">
        <v>367</v>
      </c>
      <c r="F253" s="484">
        <v>1</v>
      </c>
      <c r="G253" s="828" t="s">
        <v>368</v>
      </c>
      <c r="H253" s="829"/>
      <c r="I253" s="486" t="s">
        <v>364</v>
      </c>
      <c r="J253" s="486"/>
    </row>
    <row r="254" spans="2:10" x14ac:dyDescent="0.3">
      <c r="C254" s="489">
        <v>45945</v>
      </c>
      <c r="D254" s="484" t="s">
        <v>356</v>
      </c>
      <c r="E254" s="484" t="s">
        <v>367</v>
      </c>
      <c r="F254" s="484">
        <v>1</v>
      </c>
      <c r="G254" s="828" t="s">
        <v>368</v>
      </c>
      <c r="H254" s="829"/>
      <c r="I254" s="486" t="s">
        <v>364</v>
      </c>
      <c r="J254" s="486"/>
    </row>
    <row r="255" spans="2:10" x14ac:dyDescent="0.3">
      <c r="C255" s="489">
        <v>45945</v>
      </c>
      <c r="D255" s="484" t="s">
        <v>356</v>
      </c>
      <c r="E255" s="484" t="s">
        <v>367</v>
      </c>
      <c r="F255" s="484">
        <v>1</v>
      </c>
      <c r="G255" s="828" t="s">
        <v>368</v>
      </c>
      <c r="H255" s="829"/>
      <c r="I255" s="486" t="s">
        <v>364</v>
      </c>
      <c r="J255" s="486"/>
    </row>
    <row r="256" spans="2:10" x14ac:dyDescent="0.3">
      <c r="C256" s="489">
        <v>45945</v>
      </c>
      <c r="D256" s="484" t="s">
        <v>356</v>
      </c>
      <c r="E256" s="484" t="s">
        <v>367</v>
      </c>
      <c r="F256" s="484">
        <v>1</v>
      </c>
      <c r="G256" s="828" t="s">
        <v>368</v>
      </c>
      <c r="H256" s="829"/>
      <c r="I256" s="486" t="s">
        <v>364</v>
      </c>
      <c r="J256" s="486"/>
    </row>
    <row r="257" spans="2:10" x14ac:dyDescent="0.3">
      <c r="C257" s="489">
        <v>45945</v>
      </c>
      <c r="D257" s="484" t="s">
        <v>356</v>
      </c>
      <c r="E257" s="484" t="s">
        <v>367</v>
      </c>
      <c r="F257" s="484">
        <v>1</v>
      </c>
      <c r="G257" s="828" t="s">
        <v>368</v>
      </c>
      <c r="H257" s="829"/>
      <c r="I257" s="486" t="s">
        <v>364</v>
      </c>
      <c r="J257" s="486"/>
    </row>
    <row r="258" spans="2:10" x14ac:dyDescent="0.3">
      <c r="C258" s="489">
        <v>45945</v>
      </c>
      <c r="D258" s="484" t="s">
        <v>356</v>
      </c>
      <c r="E258" s="484" t="s">
        <v>367</v>
      </c>
      <c r="F258" s="484">
        <v>1</v>
      </c>
      <c r="G258" s="828" t="s">
        <v>368</v>
      </c>
      <c r="H258" s="829"/>
      <c r="I258" s="486" t="s">
        <v>364</v>
      </c>
      <c r="J258" s="486"/>
    </row>
    <row r="259" spans="2:10" x14ac:dyDescent="0.3">
      <c r="C259" s="489">
        <v>45945</v>
      </c>
      <c r="D259" s="484" t="s">
        <v>356</v>
      </c>
      <c r="E259" s="484" t="s">
        <v>367</v>
      </c>
      <c r="F259" s="484">
        <v>1</v>
      </c>
      <c r="G259" s="828" t="s">
        <v>368</v>
      </c>
      <c r="H259" s="829"/>
      <c r="I259" s="486" t="s">
        <v>364</v>
      </c>
      <c r="J259" s="486"/>
    </row>
    <row r="260" spans="2:10" x14ac:dyDescent="0.3">
      <c r="C260" s="489">
        <v>45945</v>
      </c>
      <c r="D260" s="484" t="s">
        <v>356</v>
      </c>
      <c r="E260" s="484" t="s">
        <v>367</v>
      </c>
      <c r="F260" s="484">
        <v>1</v>
      </c>
      <c r="G260" s="828" t="s">
        <v>368</v>
      </c>
      <c r="H260" s="829"/>
      <c r="I260" s="486" t="s">
        <v>364</v>
      </c>
      <c r="J260" s="486"/>
    </row>
    <row r="261" spans="2:10" x14ac:dyDescent="0.3">
      <c r="C261" s="489">
        <v>45945</v>
      </c>
      <c r="D261" s="484" t="s">
        <v>356</v>
      </c>
      <c r="E261" s="484" t="s">
        <v>367</v>
      </c>
      <c r="F261" s="484">
        <v>1</v>
      </c>
      <c r="G261" s="828" t="s">
        <v>368</v>
      </c>
      <c r="H261" s="829"/>
      <c r="I261" s="486" t="s">
        <v>364</v>
      </c>
      <c r="J261" s="486"/>
    </row>
    <row r="262" spans="2:10" x14ac:dyDescent="0.3">
      <c r="C262" s="489">
        <v>45945</v>
      </c>
      <c r="D262" s="484" t="s">
        <v>356</v>
      </c>
      <c r="E262" s="484" t="s">
        <v>367</v>
      </c>
      <c r="F262" s="484">
        <v>1</v>
      </c>
      <c r="G262" s="828" t="s">
        <v>368</v>
      </c>
      <c r="H262" s="829"/>
      <c r="I262" s="486" t="s">
        <v>364</v>
      </c>
      <c r="J262" s="486"/>
    </row>
    <row r="263" spans="2:10" x14ac:dyDescent="0.3">
      <c r="C263" s="489">
        <v>45945</v>
      </c>
      <c r="D263" s="484" t="s">
        <v>356</v>
      </c>
      <c r="E263" s="484" t="s">
        <v>367</v>
      </c>
      <c r="F263" s="484">
        <v>1</v>
      </c>
      <c r="G263" s="828" t="s">
        <v>368</v>
      </c>
      <c r="H263" s="829"/>
      <c r="I263" s="486" t="s">
        <v>364</v>
      </c>
      <c r="J263" s="486"/>
    </row>
    <row r="264" spans="2:10" x14ac:dyDescent="0.3">
      <c r="C264" s="489">
        <v>45945</v>
      </c>
      <c r="D264" s="484" t="s">
        <v>356</v>
      </c>
      <c r="E264" s="484" t="s">
        <v>367</v>
      </c>
      <c r="F264" s="484">
        <v>1</v>
      </c>
      <c r="G264" s="828" t="s">
        <v>368</v>
      </c>
      <c r="H264" s="829"/>
      <c r="I264" s="486" t="s">
        <v>364</v>
      </c>
      <c r="J264" s="486"/>
    </row>
    <row r="265" spans="2:10" x14ac:dyDescent="0.3">
      <c r="C265" s="489">
        <v>45945</v>
      </c>
      <c r="D265" s="484" t="s">
        <v>356</v>
      </c>
      <c r="E265" s="484" t="s">
        <v>367</v>
      </c>
      <c r="F265" s="484">
        <v>1</v>
      </c>
      <c r="G265" s="828" t="s">
        <v>368</v>
      </c>
      <c r="H265" s="829"/>
      <c r="I265" s="486" t="s">
        <v>364</v>
      </c>
      <c r="J265" s="486"/>
    </row>
    <row r="266" spans="2:10" x14ac:dyDescent="0.3">
      <c r="C266" s="489">
        <v>45945</v>
      </c>
      <c r="D266" s="484" t="s">
        <v>356</v>
      </c>
      <c r="E266" s="484" t="s">
        <v>367</v>
      </c>
      <c r="F266" s="484">
        <v>1</v>
      </c>
      <c r="G266" s="828" t="s">
        <v>368</v>
      </c>
      <c r="H266" s="829"/>
      <c r="I266" s="486" t="s">
        <v>364</v>
      </c>
      <c r="J266" s="486"/>
    </row>
    <row r="267" spans="2:10" x14ac:dyDescent="0.3">
      <c r="F267">
        <f>SUM(F247:F266)</f>
        <v>20</v>
      </c>
    </row>
    <row r="268" spans="2:10" x14ac:dyDescent="0.3">
      <c r="F268">
        <f>F267/E3</f>
        <v>0.64516129032258063</v>
      </c>
    </row>
    <row r="272" spans="2:10" ht="30" customHeight="1" x14ac:dyDescent="0.3">
      <c r="B272" s="826" t="s">
        <v>369</v>
      </c>
      <c r="C272" s="826"/>
      <c r="D272" s="826"/>
      <c r="E272" s="826"/>
      <c r="F272" s="826"/>
      <c r="G272" s="826"/>
      <c r="H272" s="826"/>
      <c r="I272" s="826"/>
    </row>
    <row r="273" spans="2:9" x14ac:dyDescent="0.3">
      <c r="B273" s="827" t="s">
        <v>370</v>
      </c>
      <c r="C273" s="827"/>
      <c r="D273" s="827"/>
      <c r="E273" s="827"/>
      <c r="F273" s="827"/>
      <c r="G273" s="827"/>
      <c r="H273" s="827"/>
      <c r="I273" s="827"/>
    </row>
    <row r="274" spans="2:9" x14ac:dyDescent="0.3">
      <c r="B274" s="827"/>
      <c r="C274" s="827"/>
      <c r="D274" s="827"/>
      <c r="E274" s="827"/>
      <c r="F274" s="827"/>
      <c r="G274" s="827"/>
      <c r="H274" s="827"/>
      <c r="I274" s="827"/>
    </row>
    <row r="275" spans="2:9" x14ac:dyDescent="0.3">
      <c r="B275" s="827"/>
      <c r="C275" s="827"/>
      <c r="D275" s="827"/>
      <c r="E275" s="827"/>
      <c r="F275" s="827"/>
      <c r="G275" s="827"/>
      <c r="H275" s="827"/>
      <c r="I275" s="827"/>
    </row>
    <row r="276" spans="2:9" x14ac:dyDescent="0.3">
      <c r="B276" s="827"/>
      <c r="C276" s="827"/>
      <c r="D276" s="827"/>
      <c r="E276" s="827"/>
      <c r="F276" s="827"/>
      <c r="G276" s="827"/>
      <c r="H276" s="827"/>
      <c r="I276" s="827"/>
    </row>
    <row r="277" spans="2:9" x14ac:dyDescent="0.3">
      <c r="B277" s="827"/>
      <c r="C277" s="827"/>
      <c r="D277" s="827"/>
      <c r="E277" s="827"/>
      <c r="F277" s="827"/>
      <c r="G277" s="827"/>
      <c r="H277" s="827"/>
      <c r="I277" s="827"/>
    </row>
    <row r="278" spans="2:9" x14ac:dyDescent="0.3">
      <c r="B278" s="827"/>
      <c r="C278" s="827"/>
      <c r="D278" s="827"/>
      <c r="E278" s="827"/>
      <c r="F278" s="827"/>
      <c r="G278" s="827"/>
      <c r="H278" s="827"/>
      <c r="I278" s="827"/>
    </row>
    <row r="279" spans="2:9" ht="132" customHeight="1" x14ac:dyDescent="0.3">
      <c r="B279" s="827"/>
      <c r="C279" s="827"/>
      <c r="D279" s="827"/>
      <c r="E279" s="827"/>
      <c r="F279" s="827"/>
      <c r="G279" s="827"/>
      <c r="H279" s="827"/>
      <c r="I279" s="827"/>
    </row>
    <row r="281" spans="2:9" x14ac:dyDescent="0.3">
      <c r="C281" t="s">
        <v>371</v>
      </c>
      <c r="D281" s="72">
        <v>0.44</v>
      </c>
    </row>
  </sheetData>
  <mergeCells count="39">
    <mergeCell ref="J25:K25"/>
    <mergeCell ref="L25:M25"/>
    <mergeCell ref="N25:O25"/>
    <mergeCell ref="T6:U6"/>
    <mergeCell ref="J6:K6"/>
    <mergeCell ref="L6:M6"/>
    <mergeCell ref="N6:O6"/>
    <mergeCell ref="P6:Q6"/>
    <mergeCell ref="R6:S6"/>
    <mergeCell ref="G257:H257"/>
    <mergeCell ref="G258:H258"/>
    <mergeCell ref="G259:H259"/>
    <mergeCell ref="G260:H260"/>
    <mergeCell ref="G255:H255"/>
    <mergeCell ref="G256:H256"/>
    <mergeCell ref="G254:H254"/>
    <mergeCell ref="B130:D130"/>
    <mergeCell ref="G215:H215"/>
    <mergeCell ref="I215:J215"/>
    <mergeCell ref="G216:H216"/>
    <mergeCell ref="G217:H217"/>
    <mergeCell ref="G241:H241"/>
    <mergeCell ref="G246:H246"/>
    <mergeCell ref="I246:J246"/>
    <mergeCell ref="G247:H247"/>
    <mergeCell ref="G248:H248"/>
    <mergeCell ref="G249:H249"/>
    <mergeCell ref="G250:H250"/>
    <mergeCell ref="G251:H251"/>
    <mergeCell ref="G252:H252"/>
    <mergeCell ref="G253:H253"/>
    <mergeCell ref="B272:I272"/>
    <mergeCell ref="B273:I279"/>
    <mergeCell ref="G261:H261"/>
    <mergeCell ref="G262:H262"/>
    <mergeCell ref="G263:H263"/>
    <mergeCell ref="G264:H264"/>
    <mergeCell ref="G265:H265"/>
    <mergeCell ref="G266:H266"/>
  </mergeCells>
  <pageMargins left="0.7" right="0.7" top="0.75" bottom="0.75" header="0.3" footer="0.3"/>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E1EB-245B-4C26-A78A-7C885F7F27AD}">
  <dimension ref="A1:A2"/>
  <sheetViews>
    <sheetView workbookViewId="0">
      <selection activeCell="D3" sqref="D3"/>
    </sheetView>
  </sheetViews>
  <sheetFormatPr defaultRowHeight="14.4" x14ac:dyDescent="0.3"/>
  <cols>
    <col min="1" max="1" width="147" customWidth="1"/>
  </cols>
  <sheetData>
    <row r="1" spans="1:1" ht="273.60000000000002" x14ac:dyDescent="0.3">
      <c r="A1" s="371" t="s">
        <v>1519</v>
      </c>
    </row>
    <row r="2" spans="1:1" x14ac:dyDescent="0.3">
      <c r="A2" s="380">
        <v>0.4</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1F35F-AC82-46E9-B349-B110D5B8D1A9}">
  <dimension ref="A1:E18"/>
  <sheetViews>
    <sheetView topLeftCell="A12" workbookViewId="0">
      <selection activeCell="C21" sqref="C21"/>
    </sheetView>
  </sheetViews>
  <sheetFormatPr defaultRowHeight="14.4" x14ac:dyDescent="0.3"/>
  <cols>
    <col min="1" max="1" width="16.109375" customWidth="1"/>
    <col min="2" max="2" width="20.77734375" customWidth="1"/>
    <col min="3" max="3" width="42.88671875" customWidth="1"/>
    <col min="4" max="4" width="27" customWidth="1"/>
    <col min="5" max="5" width="20.77734375" customWidth="1"/>
    <col min="6" max="6" width="63.109375" customWidth="1"/>
  </cols>
  <sheetData>
    <row r="1" spans="1:5" x14ac:dyDescent="0.3">
      <c r="A1" s="412" t="s">
        <v>325</v>
      </c>
      <c r="B1" s="418" t="s">
        <v>1520</v>
      </c>
      <c r="C1" s="419" t="s">
        <v>1521</v>
      </c>
      <c r="D1" s="419" t="s">
        <v>1522</v>
      </c>
      <c r="E1" s="420" t="s">
        <v>729</v>
      </c>
    </row>
    <row r="2" spans="1:5" ht="86.4" x14ac:dyDescent="0.3">
      <c r="A2" s="413">
        <v>2025</v>
      </c>
      <c r="B2" s="414" t="s">
        <v>1523</v>
      </c>
      <c r="C2" s="415" t="s">
        <v>1524</v>
      </c>
      <c r="D2" s="415" t="s">
        <v>1525</v>
      </c>
      <c r="E2" s="3" t="s">
        <v>1526</v>
      </c>
    </row>
    <row r="3" spans="1:5" ht="216" x14ac:dyDescent="0.3">
      <c r="A3" s="413">
        <v>2025</v>
      </c>
      <c r="B3" s="414" t="s">
        <v>1527</v>
      </c>
      <c r="C3" s="415" t="s">
        <v>1524</v>
      </c>
      <c r="D3" s="415" t="s">
        <v>1525</v>
      </c>
      <c r="E3" s="3" t="s">
        <v>1528</v>
      </c>
    </row>
    <row r="4" spans="1:5" ht="86.4" x14ac:dyDescent="0.3">
      <c r="A4" s="413">
        <v>2025</v>
      </c>
      <c r="B4" s="416" t="s">
        <v>1529</v>
      </c>
      <c r="C4" s="413" t="s">
        <v>220</v>
      </c>
      <c r="D4" s="413" t="s">
        <v>1530</v>
      </c>
      <c r="E4" s="6" t="s">
        <v>1531</v>
      </c>
    </row>
    <row r="5" spans="1:5" ht="172.8" x14ac:dyDescent="0.3">
      <c r="A5" s="413">
        <v>2025</v>
      </c>
      <c r="B5" s="416" t="s">
        <v>1532</v>
      </c>
      <c r="C5" s="413" t="s">
        <v>220</v>
      </c>
      <c r="D5" s="413" t="s">
        <v>1525</v>
      </c>
      <c r="E5" s="6" t="s">
        <v>1533</v>
      </c>
    </row>
    <row r="6" spans="1:5" ht="57.6" x14ac:dyDescent="0.3">
      <c r="A6" s="413">
        <v>2025</v>
      </c>
      <c r="B6" s="416" t="s">
        <v>1534</v>
      </c>
      <c r="C6" s="413" t="s">
        <v>220</v>
      </c>
      <c r="D6" s="413" t="s">
        <v>1525</v>
      </c>
      <c r="E6" s="6" t="s">
        <v>1535</v>
      </c>
    </row>
    <row r="7" spans="1:5" ht="100.8" x14ac:dyDescent="0.3">
      <c r="A7" s="413">
        <v>2025</v>
      </c>
      <c r="B7" s="416" t="s">
        <v>1536</v>
      </c>
      <c r="C7" s="413" t="s">
        <v>220</v>
      </c>
      <c r="D7" s="413" t="s">
        <v>1525</v>
      </c>
      <c r="E7" s="6" t="s">
        <v>1537</v>
      </c>
    </row>
    <row r="8" spans="1:5" ht="86.4" x14ac:dyDescent="0.3">
      <c r="A8" s="413">
        <v>2025</v>
      </c>
      <c r="B8" s="416" t="s">
        <v>1538</v>
      </c>
      <c r="C8" s="413" t="s">
        <v>220</v>
      </c>
      <c r="D8" s="413" t="s">
        <v>1525</v>
      </c>
      <c r="E8" s="6" t="s">
        <v>1539</v>
      </c>
    </row>
    <row r="9" spans="1:5" ht="100.8" x14ac:dyDescent="0.3">
      <c r="A9" s="413">
        <v>2025</v>
      </c>
      <c r="B9" s="416" t="s">
        <v>1540</v>
      </c>
      <c r="C9" s="413" t="s">
        <v>220</v>
      </c>
      <c r="D9" s="413" t="s">
        <v>1525</v>
      </c>
      <c r="E9" s="6" t="s">
        <v>1541</v>
      </c>
    </row>
    <row r="10" spans="1:5" ht="129.6" x14ac:dyDescent="0.3">
      <c r="A10" s="413">
        <v>2025</v>
      </c>
      <c r="B10" s="416" t="s">
        <v>1542</v>
      </c>
      <c r="C10" s="413" t="s">
        <v>220</v>
      </c>
      <c r="D10" s="413" t="s">
        <v>1543</v>
      </c>
      <c r="E10" s="6" t="s">
        <v>1544</v>
      </c>
    </row>
    <row r="11" spans="1:5" ht="244.8" x14ac:dyDescent="0.3">
      <c r="A11" s="413">
        <v>2025</v>
      </c>
      <c r="B11" s="416" t="s">
        <v>1545</v>
      </c>
      <c r="C11" s="413" t="s">
        <v>220</v>
      </c>
      <c r="D11" s="413" t="s">
        <v>1543</v>
      </c>
      <c r="E11" s="6" t="s">
        <v>1546</v>
      </c>
    </row>
    <row r="12" spans="1:5" ht="187.2" x14ac:dyDescent="0.3">
      <c r="A12" s="417">
        <v>45901</v>
      </c>
      <c r="B12" s="68" t="s">
        <v>1547</v>
      </c>
      <c r="C12" s="74">
        <v>10</v>
      </c>
      <c r="D12" s="74" t="s">
        <v>1543</v>
      </c>
      <c r="E12" s="6" t="s">
        <v>1548</v>
      </c>
    </row>
    <row r="13" spans="1:5" ht="86.4" x14ac:dyDescent="0.3">
      <c r="A13" s="74">
        <v>2025</v>
      </c>
      <c r="B13" s="68" t="s">
        <v>1549</v>
      </c>
      <c r="C13" s="74" t="s">
        <v>220</v>
      </c>
      <c r="D13" s="74" t="s">
        <v>1525</v>
      </c>
      <c r="E13" s="6" t="s">
        <v>1550</v>
      </c>
    </row>
    <row r="17" spans="1:2" x14ac:dyDescent="0.3">
      <c r="B17" t="s">
        <v>1551</v>
      </c>
    </row>
    <row r="18" spans="1:2" x14ac:dyDescent="0.3">
      <c r="A18" t="s">
        <v>1552</v>
      </c>
      <c r="B18">
        <f>COUNTA(B2:B13)</f>
        <v>12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244C2-30AF-42BB-A20F-FEE0E24770BD}">
  <sheetPr>
    <tabColor theme="1"/>
  </sheetPr>
  <dimension ref="A1:J18"/>
  <sheetViews>
    <sheetView topLeftCell="A4" workbookViewId="0">
      <selection activeCell="A2" sqref="A2:A15"/>
    </sheetView>
  </sheetViews>
  <sheetFormatPr defaultColWidth="9.109375" defaultRowHeight="14.4" x14ac:dyDescent="0.3"/>
  <cols>
    <col min="1" max="1" width="9.109375" style="105"/>
    <col min="2" max="2" width="20.77734375" style="105" customWidth="1"/>
    <col min="3" max="3" width="42.88671875" style="105" customWidth="1"/>
    <col min="4" max="4" width="27" style="105" customWidth="1"/>
    <col min="5" max="5" width="20.77734375" style="105" customWidth="1"/>
    <col min="6" max="6" width="63.109375" style="105" customWidth="1"/>
    <col min="7" max="7" width="24" style="105" customWidth="1"/>
    <col min="8" max="16384" width="9.109375" style="105"/>
  </cols>
  <sheetData>
    <row r="1" spans="1:10" x14ac:dyDescent="0.3">
      <c r="B1" s="381" t="s">
        <v>325</v>
      </c>
      <c r="C1" s="382" t="s">
        <v>1520</v>
      </c>
      <c r="D1" s="381" t="s">
        <v>1521</v>
      </c>
      <c r="E1" s="381" t="s">
        <v>1522</v>
      </c>
      <c r="F1" s="383" t="s">
        <v>729</v>
      </c>
      <c r="G1" s="381" t="s">
        <v>1553</v>
      </c>
    </row>
    <row r="2" spans="1:10" ht="28.8" x14ac:dyDescent="0.3">
      <c r="A2" s="105">
        <v>1</v>
      </c>
      <c r="B2" s="384">
        <v>2024</v>
      </c>
      <c r="C2" s="372" t="s">
        <v>1523</v>
      </c>
      <c r="D2" s="385" t="s">
        <v>1524</v>
      </c>
      <c r="E2" s="385" t="s">
        <v>1525</v>
      </c>
      <c r="F2" s="373" t="s">
        <v>1526</v>
      </c>
      <c r="G2" s="105" t="s">
        <v>364</v>
      </c>
      <c r="J2" s="105" t="s">
        <v>364</v>
      </c>
    </row>
    <row r="3" spans="1:10" ht="72" x14ac:dyDescent="0.3">
      <c r="A3" s="105">
        <v>1</v>
      </c>
      <c r="B3" s="384">
        <v>2024</v>
      </c>
      <c r="C3" s="372" t="s">
        <v>1527</v>
      </c>
      <c r="D3" s="385" t="s">
        <v>1524</v>
      </c>
      <c r="E3" s="385" t="s">
        <v>1525</v>
      </c>
      <c r="F3" s="373" t="s">
        <v>1528</v>
      </c>
      <c r="G3" s="105" t="s">
        <v>364</v>
      </c>
      <c r="J3" s="105" t="s">
        <v>505</v>
      </c>
    </row>
    <row r="4" spans="1:10" ht="28.8" x14ac:dyDescent="0.3">
      <c r="A4" s="105">
        <v>1</v>
      </c>
      <c r="B4" s="384">
        <v>2024</v>
      </c>
      <c r="C4" s="386" t="s">
        <v>1529</v>
      </c>
      <c r="D4" s="384" t="s">
        <v>220</v>
      </c>
      <c r="E4" s="384" t="s">
        <v>1530</v>
      </c>
      <c r="F4" s="371" t="s">
        <v>1531</v>
      </c>
      <c r="G4" s="105" t="s">
        <v>364</v>
      </c>
    </row>
    <row r="5" spans="1:10" ht="43.2" x14ac:dyDescent="0.3">
      <c r="A5" s="105">
        <v>1</v>
      </c>
      <c r="B5" s="384">
        <v>2024</v>
      </c>
      <c r="C5" s="386" t="s">
        <v>1532</v>
      </c>
      <c r="D5" s="384" t="s">
        <v>220</v>
      </c>
      <c r="E5" s="384" t="s">
        <v>1525</v>
      </c>
      <c r="F5" s="371" t="s">
        <v>1554</v>
      </c>
      <c r="G5" s="105" t="s">
        <v>364</v>
      </c>
    </row>
    <row r="6" spans="1:10" x14ac:dyDescent="0.3">
      <c r="A6" s="105">
        <v>1</v>
      </c>
      <c r="B6" s="384">
        <v>2024</v>
      </c>
      <c r="C6" s="386" t="s">
        <v>1534</v>
      </c>
      <c r="D6" s="384" t="s">
        <v>220</v>
      </c>
      <c r="E6" s="384" t="s">
        <v>1525</v>
      </c>
      <c r="F6" s="371" t="s">
        <v>1535</v>
      </c>
      <c r="G6" s="105" t="s">
        <v>364</v>
      </c>
    </row>
    <row r="7" spans="1:10" ht="43.2" x14ac:dyDescent="0.3">
      <c r="A7" s="105">
        <v>1</v>
      </c>
      <c r="B7" s="384">
        <v>2024</v>
      </c>
      <c r="C7" s="386" t="s">
        <v>1536</v>
      </c>
      <c r="D7" s="384" t="s">
        <v>220</v>
      </c>
      <c r="E7" s="384" t="s">
        <v>1525</v>
      </c>
      <c r="F7" s="371" t="s">
        <v>1537</v>
      </c>
      <c r="G7" s="105" t="s">
        <v>505</v>
      </c>
    </row>
    <row r="8" spans="1:10" x14ac:dyDescent="0.3">
      <c r="A8" s="105">
        <v>1</v>
      </c>
      <c r="B8" s="384">
        <v>2024</v>
      </c>
      <c r="C8" s="386" t="s">
        <v>1538</v>
      </c>
      <c r="D8" s="384" t="s">
        <v>220</v>
      </c>
      <c r="E8" s="384" t="s">
        <v>1525</v>
      </c>
      <c r="F8" s="371" t="s">
        <v>1555</v>
      </c>
      <c r="G8" s="105" t="s">
        <v>505</v>
      </c>
    </row>
    <row r="9" spans="1:10" ht="43.2" x14ac:dyDescent="0.3">
      <c r="A9" s="105">
        <v>1</v>
      </c>
      <c r="B9" s="384">
        <v>2024</v>
      </c>
      <c r="C9" s="386" t="s">
        <v>1540</v>
      </c>
      <c r="D9" s="384" t="s">
        <v>220</v>
      </c>
      <c r="E9" s="384" t="s">
        <v>1525</v>
      </c>
      <c r="F9" s="371" t="s">
        <v>1556</v>
      </c>
      <c r="G9" s="105" t="s">
        <v>505</v>
      </c>
    </row>
    <row r="10" spans="1:10" ht="43.2" x14ac:dyDescent="0.3">
      <c r="A10" s="105">
        <v>1</v>
      </c>
      <c r="B10" s="384">
        <v>2024</v>
      </c>
      <c r="C10" s="386" t="s">
        <v>1542</v>
      </c>
      <c r="D10" s="384" t="s">
        <v>220</v>
      </c>
      <c r="E10" s="384" t="s">
        <v>1543</v>
      </c>
      <c r="F10" s="371" t="s">
        <v>1557</v>
      </c>
      <c r="G10" s="105" t="s">
        <v>505</v>
      </c>
    </row>
    <row r="11" spans="1:10" ht="28.8" x14ac:dyDescent="0.3">
      <c r="A11" s="105">
        <v>1</v>
      </c>
      <c r="B11" s="387">
        <v>45413</v>
      </c>
      <c r="C11" s="386" t="s">
        <v>1545</v>
      </c>
      <c r="D11" s="384" t="s">
        <v>220</v>
      </c>
      <c r="E11" s="384" t="s">
        <v>1543</v>
      </c>
      <c r="F11" s="371" t="s">
        <v>1558</v>
      </c>
      <c r="G11" s="105" t="s">
        <v>364</v>
      </c>
    </row>
    <row r="12" spans="1:10" ht="43.2" x14ac:dyDescent="0.3">
      <c r="A12" s="105">
        <v>1</v>
      </c>
      <c r="B12" s="387">
        <v>45505</v>
      </c>
      <c r="C12" s="216" t="s">
        <v>1559</v>
      </c>
      <c r="D12" s="388">
        <v>10</v>
      </c>
      <c r="E12" s="388" t="s">
        <v>1543</v>
      </c>
      <c r="F12" s="371" t="s">
        <v>1560</v>
      </c>
      <c r="G12" s="105" t="s">
        <v>364</v>
      </c>
    </row>
    <row r="13" spans="1:10" ht="43.2" x14ac:dyDescent="0.3">
      <c r="A13" s="105">
        <v>1</v>
      </c>
      <c r="B13" s="387">
        <v>45444</v>
      </c>
      <c r="C13" s="216" t="s">
        <v>1561</v>
      </c>
      <c r="D13" s="388" t="s">
        <v>220</v>
      </c>
      <c r="E13" s="388" t="s">
        <v>1562</v>
      </c>
      <c r="F13" s="371" t="s">
        <v>1563</v>
      </c>
      <c r="G13" s="105" t="s">
        <v>364</v>
      </c>
    </row>
    <row r="14" spans="1:10" ht="57.6" x14ac:dyDescent="0.3">
      <c r="A14" s="105">
        <v>1</v>
      </c>
      <c r="B14" s="388">
        <v>2024</v>
      </c>
      <c r="C14" s="216" t="s">
        <v>1564</v>
      </c>
      <c r="D14" s="388" t="s">
        <v>220</v>
      </c>
      <c r="E14" s="384" t="s">
        <v>1525</v>
      </c>
      <c r="F14" s="371" t="s">
        <v>1565</v>
      </c>
      <c r="G14" s="105" t="s">
        <v>364</v>
      </c>
    </row>
    <row r="15" spans="1:10" ht="28.8" x14ac:dyDescent="0.3">
      <c r="A15" s="105">
        <v>1</v>
      </c>
      <c r="B15" s="388">
        <v>2024</v>
      </c>
      <c r="C15" s="216" t="s">
        <v>1549</v>
      </c>
      <c r="D15" s="388" t="s">
        <v>220</v>
      </c>
      <c r="E15" s="388" t="s">
        <v>1525</v>
      </c>
      <c r="F15" s="371" t="s">
        <v>1566</v>
      </c>
      <c r="G15" s="105" t="s">
        <v>364</v>
      </c>
    </row>
    <row r="18" spans="2:2" x14ac:dyDescent="0.3">
      <c r="B18" s="105" t="s">
        <v>1567</v>
      </c>
    </row>
  </sheetData>
  <dataValidations count="1">
    <dataValidation type="list" allowBlank="1" showInputMessage="1" showErrorMessage="1" sqref="G2:G22" xr:uid="{CBE7C797-5976-4EFF-9ADB-79F9CAB50B0D}">
      <formula1>$J$2:$J$3</formula1>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F1AF2-B943-4F7A-8926-E3D291E75AAF}">
  <dimension ref="A1:W303"/>
  <sheetViews>
    <sheetView workbookViewId="0">
      <pane xSplit="4" topLeftCell="J1" activePane="topRight" state="frozen"/>
      <selection pane="topRight" activeCell="Q149" sqref="Q149"/>
    </sheetView>
  </sheetViews>
  <sheetFormatPr defaultRowHeight="14.4" x14ac:dyDescent="0.3"/>
  <cols>
    <col min="1" max="1" width="29.77734375" customWidth="1"/>
    <col min="2" max="2" width="23.88671875" customWidth="1"/>
    <col min="3" max="3" width="9" customWidth="1"/>
    <col min="4" max="4" width="28.77734375" customWidth="1"/>
    <col min="8" max="8" width="16.21875" customWidth="1"/>
    <col min="13" max="13" width="11.77734375" customWidth="1"/>
    <col min="16" max="16" width="12.5546875" customWidth="1"/>
    <col min="19" max="19" width="16.5546875" customWidth="1"/>
    <col min="20" max="20" width="24.77734375" customWidth="1"/>
    <col min="21" max="21" width="20.5546875" customWidth="1"/>
    <col min="22" max="22" width="33" customWidth="1"/>
    <col min="23" max="23" width="25.109375" customWidth="1"/>
  </cols>
  <sheetData>
    <row r="1" spans="1:20" x14ac:dyDescent="0.3">
      <c r="A1" s="309" t="s">
        <v>1568</v>
      </c>
      <c r="B1" s="310"/>
      <c r="C1" s="315" t="s">
        <v>1569</v>
      </c>
      <c r="D1" s="310"/>
    </row>
    <row r="2" spans="1:20" x14ac:dyDescent="0.3">
      <c r="A2" s="311" t="s">
        <v>1570</v>
      </c>
      <c r="B2" s="311"/>
      <c r="C2" s="311" t="s">
        <v>35</v>
      </c>
      <c r="D2" s="312">
        <f>SUM(T10,T52)</f>
        <v>12968110.326900002</v>
      </c>
      <c r="F2" s="292" t="s">
        <v>1571</v>
      </c>
    </row>
    <row r="3" spans="1:20" x14ac:dyDescent="0.3">
      <c r="A3" s="311" t="s">
        <v>1572</v>
      </c>
      <c r="B3" s="311"/>
      <c r="C3" s="311" t="s">
        <v>58</v>
      </c>
      <c r="D3" s="313">
        <f>T75</f>
        <v>14626.533022280781</v>
      </c>
      <c r="F3" s="68" t="s">
        <v>1573</v>
      </c>
    </row>
    <row r="4" spans="1:20" x14ac:dyDescent="0.3">
      <c r="A4" s="311" t="s">
        <v>1574</v>
      </c>
      <c r="B4" s="311"/>
      <c r="C4" s="311" t="s">
        <v>65</v>
      </c>
      <c r="D4" s="311">
        <f>W98</f>
        <v>300.35599999999999</v>
      </c>
      <c r="F4" s="68" t="s">
        <v>1575</v>
      </c>
    </row>
    <row r="5" spans="1:20" x14ac:dyDescent="0.3">
      <c r="A5" s="311" t="s">
        <v>1576</v>
      </c>
      <c r="B5" s="311"/>
      <c r="C5" s="311" t="s">
        <v>1577</v>
      </c>
      <c r="D5" s="314">
        <f>SUM(O149:Q149)</f>
        <v>3216.5855799999999</v>
      </c>
    </row>
    <row r="8" spans="1:20" x14ac:dyDescent="0.3">
      <c r="A8" s="68" t="s">
        <v>1578</v>
      </c>
      <c r="D8" s="68" t="s">
        <v>1579</v>
      </c>
    </row>
    <row r="9" spans="1:20" ht="27.6" x14ac:dyDescent="0.3">
      <c r="A9" s="281" t="s">
        <v>1065</v>
      </c>
      <c r="B9" s="281" t="s">
        <v>864</v>
      </c>
      <c r="C9" s="281" t="s">
        <v>1112</v>
      </c>
      <c r="D9" s="281" t="s">
        <v>1070</v>
      </c>
      <c r="E9" s="281" t="s">
        <v>1113</v>
      </c>
      <c r="F9" s="281" t="s">
        <v>1114</v>
      </c>
      <c r="G9" s="255" t="s">
        <v>1115</v>
      </c>
      <c r="H9" s="255" t="s">
        <v>1116</v>
      </c>
      <c r="I9" s="255" t="s">
        <v>1117</v>
      </c>
      <c r="J9" s="255" t="s">
        <v>1118</v>
      </c>
      <c r="K9" s="255" t="s">
        <v>1119</v>
      </c>
      <c r="L9" s="255" t="s">
        <v>1120</v>
      </c>
      <c r="M9" s="255" t="s">
        <v>1121</v>
      </c>
      <c r="N9" s="255" t="s">
        <v>1122</v>
      </c>
      <c r="O9" s="255" t="s">
        <v>1123</v>
      </c>
      <c r="P9" s="255" t="s">
        <v>1124</v>
      </c>
      <c r="Q9" s="255" t="s">
        <v>1125</v>
      </c>
      <c r="R9" s="255" t="s">
        <v>1126</v>
      </c>
      <c r="S9" s="68" t="s">
        <v>1580</v>
      </c>
      <c r="T9" s="68" t="s">
        <v>1581</v>
      </c>
    </row>
    <row r="10" spans="1:20" x14ac:dyDescent="0.3">
      <c r="A10" s="269" t="s">
        <v>497</v>
      </c>
      <c r="B10" s="258" t="s">
        <v>364</v>
      </c>
      <c r="C10" s="259" t="s">
        <v>865</v>
      </c>
      <c r="D10" s="269" t="s">
        <v>1080</v>
      </c>
      <c r="E10" s="269" t="s">
        <v>1130</v>
      </c>
      <c r="F10" s="282" t="s">
        <v>35</v>
      </c>
      <c r="G10" s="283">
        <v>37940.232000000004</v>
      </c>
      <c r="H10" s="283">
        <v>37468.192000000003</v>
      </c>
      <c r="I10" s="283">
        <v>37380.635000000002</v>
      </c>
      <c r="J10" s="283">
        <v>34803.85</v>
      </c>
      <c r="K10" s="283">
        <v>41843.504999999997</v>
      </c>
      <c r="L10" s="283">
        <v>38829.739000000001</v>
      </c>
      <c r="M10" s="283">
        <v>42496.955000000002</v>
      </c>
      <c r="N10" s="283">
        <v>41772.991000000002</v>
      </c>
      <c r="O10" s="283">
        <v>37140.999000000003</v>
      </c>
      <c r="P10" s="283">
        <v>35010.402000000002</v>
      </c>
      <c r="Q10" s="283">
        <v>31218.73</v>
      </c>
      <c r="R10" s="283">
        <v>28506.153999999999</v>
      </c>
      <c r="S10" s="321">
        <f>SUM(G10:R10)</f>
        <v>444412.38399999996</v>
      </c>
      <c r="T10" s="287">
        <f>SUM(S10:S47)</f>
        <v>8554137.995000001</v>
      </c>
    </row>
    <row r="11" spans="1:20" ht="27.6" x14ac:dyDescent="0.3">
      <c r="A11" s="185" t="s">
        <v>497</v>
      </c>
      <c r="B11" s="96" t="s">
        <v>364</v>
      </c>
      <c r="C11" s="97" t="s">
        <v>865</v>
      </c>
      <c r="D11" s="185" t="s">
        <v>1087</v>
      </c>
      <c r="E11" s="185" t="s">
        <v>1130</v>
      </c>
      <c r="F11" s="187" t="s">
        <v>35</v>
      </c>
      <c r="G11" s="188">
        <v>85835.99</v>
      </c>
      <c r="H11" s="188">
        <v>81912.58</v>
      </c>
      <c r="I11" s="188">
        <v>84213.71</v>
      </c>
      <c r="J11" s="188">
        <v>83074.89</v>
      </c>
      <c r="K11" s="188">
        <v>85755.43</v>
      </c>
      <c r="L11" s="188">
        <v>83017.41</v>
      </c>
      <c r="M11" s="188">
        <v>89831.55</v>
      </c>
      <c r="N11" s="188">
        <v>88097.42</v>
      </c>
      <c r="O11" s="188">
        <v>85566.06</v>
      </c>
      <c r="P11" s="188">
        <v>88427.7</v>
      </c>
      <c r="Q11" s="188">
        <v>84375.08</v>
      </c>
      <c r="R11" s="188">
        <v>79962.850000000006</v>
      </c>
      <c r="S11" s="321">
        <f>SUM(G11:R11)</f>
        <v>1020070.6699999999</v>
      </c>
    </row>
    <row r="12" spans="1:20" x14ac:dyDescent="0.3">
      <c r="A12" s="269" t="s">
        <v>497</v>
      </c>
      <c r="B12" s="258" t="s">
        <v>364</v>
      </c>
      <c r="C12" s="259" t="s">
        <v>865</v>
      </c>
      <c r="D12" s="269" t="s">
        <v>1196</v>
      </c>
      <c r="E12" s="269" t="s">
        <v>1130</v>
      </c>
      <c r="F12" s="282" t="s">
        <v>35</v>
      </c>
      <c r="G12" s="283">
        <v>228</v>
      </c>
      <c r="H12" s="283">
        <v>440.53</v>
      </c>
      <c r="I12" s="283">
        <v>714.43</v>
      </c>
      <c r="J12" s="283">
        <v>1209.6400000000001</v>
      </c>
      <c r="K12" s="283">
        <v>1444.35</v>
      </c>
      <c r="L12" s="283">
        <v>1508.58</v>
      </c>
      <c r="M12" s="283">
        <v>1451.69</v>
      </c>
      <c r="N12" s="283">
        <v>1473.27</v>
      </c>
      <c r="O12" s="283">
        <v>955.93</v>
      </c>
      <c r="P12" s="283">
        <v>715.9</v>
      </c>
      <c r="Q12" s="283">
        <v>233.84</v>
      </c>
      <c r="R12" s="283">
        <v>160.57</v>
      </c>
      <c r="S12" s="321">
        <f>SUM(G12:R12)</f>
        <v>10536.730000000001</v>
      </c>
    </row>
    <row r="13" spans="1:20" x14ac:dyDescent="0.3">
      <c r="A13" s="185" t="s">
        <v>499</v>
      </c>
      <c r="B13" s="96" t="s">
        <v>364</v>
      </c>
      <c r="C13" s="97" t="s">
        <v>865</v>
      </c>
      <c r="D13" s="185" t="s">
        <v>1080</v>
      </c>
      <c r="E13" s="185" t="s">
        <v>1130</v>
      </c>
      <c r="F13" s="187" t="s">
        <v>35</v>
      </c>
      <c r="G13" s="188">
        <v>15487.3</v>
      </c>
      <c r="H13" s="188">
        <v>14089.48</v>
      </c>
      <c r="I13" s="188">
        <v>14170.56</v>
      </c>
      <c r="J13" s="188">
        <v>14160.37</v>
      </c>
      <c r="K13" s="188">
        <v>14345.59</v>
      </c>
      <c r="L13" s="188">
        <v>12766.07</v>
      </c>
      <c r="M13" s="188">
        <v>13913.8</v>
      </c>
      <c r="N13" s="188">
        <v>15561.75</v>
      </c>
      <c r="O13" s="188">
        <v>13360.53</v>
      </c>
      <c r="P13" s="188">
        <v>17380.669999999998</v>
      </c>
      <c r="Q13" s="188">
        <v>17364.72</v>
      </c>
      <c r="R13" s="188">
        <v>17903.55</v>
      </c>
      <c r="S13" s="321">
        <f>SUM(G13:R13)</f>
        <v>180504.38999999998</v>
      </c>
    </row>
    <row r="14" spans="1:20" ht="27.6" x14ac:dyDescent="0.3">
      <c r="A14" s="269" t="s">
        <v>499</v>
      </c>
      <c r="B14" s="258" t="s">
        <v>364</v>
      </c>
      <c r="C14" s="259" t="s">
        <v>865</v>
      </c>
      <c r="D14" s="269" t="s">
        <v>1087</v>
      </c>
      <c r="E14" s="269" t="s">
        <v>1130</v>
      </c>
      <c r="F14" s="282" t="s">
        <v>35</v>
      </c>
      <c r="G14" s="283">
        <v>47376</v>
      </c>
      <c r="H14" s="283">
        <v>44141</v>
      </c>
      <c r="I14" s="283">
        <v>44399</v>
      </c>
      <c r="J14" s="283">
        <v>39700</v>
      </c>
      <c r="K14" s="283">
        <v>37725</v>
      </c>
      <c r="L14" s="283">
        <v>35825</v>
      </c>
      <c r="M14" s="283">
        <v>38450</v>
      </c>
      <c r="N14" s="283">
        <v>43150</v>
      </c>
      <c r="O14" s="283">
        <v>38500</v>
      </c>
      <c r="P14" s="283">
        <v>36850</v>
      </c>
      <c r="Q14" s="283">
        <v>45450</v>
      </c>
      <c r="R14" s="283">
        <v>38150</v>
      </c>
      <c r="S14" s="321">
        <f>SUM(G14:R14)</f>
        <v>489716</v>
      </c>
    </row>
    <row r="15" spans="1:20" ht="27.6" x14ac:dyDescent="0.3">
      <c r="A15" s="185" t="s">
        <v>840</v>
      </c>
      <c r="B15" s="96" t="s">
        <v>505</v>
      </c>
      <c r="C15" s="97" t="s">
        <v>1204</v>
      </c>
      <c r="D15" s="185" t="s">
        <v>1092</v>
      </c>
      <c r="E15" s="185" t="s">
        <v>1130</v>
      </c>
      <c r="F15" s="187" t="s">
        <v>35</v>
      </c>
      <c r="G15" s="189">
        <v>4512.0060000000003</v>
      </c>
      <c r="H15" s="189">
        <v>4512.0060000000003</v>
      </c>
      <c r="I15" s="189">
        <v>4512.0060000000003</v>
      </c>
      <c r="J15" s="189">
        <v>4512.0060000000003</v>
      </c>
      <c r="K15" s="189">
        <v>4512.0060000000003</v>
      </c>
      <c r="L15" s="189">
        <v>4512.0060000000003</v>
      </c>
      <c r="M15" s="189">
        <v>4512.0060000000003</v>
      </c>
      <c r="N15" s="189">
        <v>4512.0060000000003</v>
      </c>
      <c r="O15" s="189">
        <v>4512.0060000000003</v>
      </c>
      <c r="P15" s="189">
        <v>4512.0060000000003</v>
      </c>
      <c r="Q15" s="189">
        <v>4512.0060000000003</v>
      </c>
      <c r="R15" s="189">
        <v>4512.0060000000003</v>
      </c>
      <c r="S15">
        <v>0</v>
      </c>
    </row>
    <row r="16" spans="1:20" ht="27.6" x14ac:dyDescent="0.3">
      <c r="A16" s="269" t="s">
        <v>1137</v>
      </c>
      <c r="B16" s="258" t="s">
        <v>505</v>
      </c>
      <c r="C16" s="259" t="s">
        <v>871</v>
      </c>
      <c r="D16" s="269" t="s">
        <v>1092</v>
      </c>
      <c r="E16" s="269" t="s">
        <v>1130</v>
      </c>
      <c r="F16" s="282" t="s">
        <v>35</v>
      </c>
      <c r="G16" s="282"/>
      <c r="H16" s="282"/>
      <c r="I16" s="282"/>
      <c r="J16" s="282"/>
      <c r="K16" s="282"/>
      <c r="L16" s="282"/>
      <c r="M16" s="282"/>
      <c r="N16" s="282"/>
      <c r="O16" s="282"/>
      <c r="P16" s="282"/>
      <c r="Q16" s="282"/>
      <c r="R16" s="282"/>
      <c r="S16">
        <v>0</v>
      </c>
    </row>
    <row r="17" spans="1:19" x14ac:dyDescent="0.3">
      <c r="A17" s="185" t="s">
        <v>463</v>
      </c>
      <c r="B17" s="96" t="s">
        <v>364</v>
      </c>
      <c r="C17" s="97" t="s">
        <v>865</v>
      </c>
      <c r="D17" s="185" t="s">
        <v>1080</v>
      </c>
      <c r="E17" s="185" t="s">
        <v>1130</v>
      </c>
      <c r="F17" s="187" t="s">
        <v>35</v>
      </c>
      <c r="G17" s="188">
        <v>1022.6</v>
      </c>
      <c r="H17" s="188">
        <v>1032.7</v>
      </c>
      <c r="I17" s="188">
        <v>1064.201</v>
      </c>
      <c r="J17" s="188">
        <v>976.9</v>
      </c>
      <c r="K17" s="188">
        <v>980.8</v>
      </c>
      <c r="L17" s="188">
        <v>880.5</v>
      </c>
      <c r="M17" s="188">
        <v>1021.9</v>
      </c>
      <c r="N17" s="188">
        <v>972.1</v>
      </c>
      <c r="O17" s="188">
        <v>1368.1010000000001</v>
      </c>
      <c r="P17" s="188">
        <v>868.9</v>
      </c>
      <c r="Q17" s="188">
        <v>1116.3</v>
      </c>
      <c r="R17" s="188">
        <v>1123.5999999999999</v>
      </c>
      <c r="S17" s="321">
        <f>SUM(G17:R17)</f>
        <v>12428.601999999999</v>
      </c>
    </row>
    <row r="18" spans="1:19" ht="27.6" x14ac:dyDescent="0.3">
      <c r="A18" s="269" t="s">
        <v>463</v>
      </c>
      <c r="B18" s="258" t="s">
        <v>364</v>
      </c>
      <c r="C18" s="259" t="s">
        <v>865</v>
      </c>
      <c r="D18" s="269" t="s">
        <v>1087</v>
      </c>
      <c r="E18" s="269" t="s">
        <v>1130</v>
      </c>
      <c r="F18" s="282" t="s">
        <v>35</v>
      </c>
      <c r="G18" s="283">
        <v>417.267</v>
      </c>
      <c r="H18" s="283">
        <v>436.767</v>
      </c>
      <c r="I18" s="283">
        <v>444.96699999999998</v>
      </c>
      <c r="J18" s="283">
        <v>427.96699999999998</v>
      </c>
      <c r="K18" s="283">
        <v>439.267</v>
      </c>
      <c r="L18" s="283">
        <v>455.66699999999997</v>
      </c>
      <c r="M18" s="283">
        <v>491.86700000000002</v>
      </c>
      <c r="N18" s="283">
        <v>454.767</v>
      </c>
      <c r="O18" s="283">
        <v>487.66699999999997</v>
      </c>
      <c r="P18" s="283">
        <v>456.16699999999997</v>
      </c>
      <c r="Q18" s="283">
        <v>474.36700000000002</v>
      </c>
      <c r="R18" s="283">
        <v>458.767</v>
      </c>
      <c r="S18" s="321">
        <f>SUM(G18:R18)</f>
        <v>5445.5039999999999</v>
      </c>
    </row>
    <row r="19" spans="1:19" ht="27.6" x14ac:dyDescent="0.3">
      <c r="A19" s="185" t="s">
        <v>517</v>
      </c>
      <c r="B19" s="96" t="s">
        <v>364</v>
      </c>
      <c r="C19" s="97" t="s">
        <v>865</v>
      </c>
      <c r="D19" s="185" t="s">
        <v>1092</v>
      </c>
      <c r="E19" s="185" t="s">
        <v>1130</v>
      </c>
      <c r="F19" s="187" t="s">
        <v>35</v>
      </c>
      <c r="G19" s="189">
        <v>13794.328</v>
      </c>
      <c r="H19" s="189">
        <v>13794.328</v>
      </c>
      <c r="I19" s="189">
        <v>13794.328</v>
      </c>
      <c r="J19" s="189">
        <v>13794.328</v>
      </c>
      <c r="K19" s="189">
        <v>13794.328</v>
      </c>
      <c r="L19" s="189">
        <v>13794.328</v>
      </c>
      <c r="M19" s="189">
        <v>13794.328</v>
      </c>
      <c r="N19" s="189">
        <v>13794.328</v>
      </c>
      <c r="O19" s="189">
        <v>13794.328</v>
      </c>
      <c r="P19" s="189">
        <v>13794.328</v>
      </c>
      <c r="Q19" s="189">
        <v>13794.328</v>
      </c>
      <c r="R19" s="189">
        <v>13794.328</v>
      </c>
      <c r="S19">
        <v>0</v>
      </c>
    </row>
    <row r="20" spans="1:19" x14ac:dyDescent="0.3">
      <c r="A20" s="269" t="s">
        <v>460</v>
      </c>
      <c r="B20" s="258" t="s">
        <v>364</v>
      </c>
      <c r="C20" s="259" t="s">
        <v>865</v>
      </c>
      <c r="D20" s="269" t="s">
        <v>1080</v>
      </c>
      <c r="E20" s="269" t="s">
        <v>1130</v>
      </c>
      <c r="F20" s="282" t="s">
        <v>35</v>
      </c>
      <c r="G20" s="283">
        <v>13376.136</v>
      </c>
      <c r="H20" s="283">
        <v>12377.951999999999</v>
      </c>
      <c r="I20" s="283">
        <v>11220.936</v>
      </c>
      <c r="J20" s="283">
        <v>11710.343999999999</v>
      </c>
      <c r="K20" s="283">
        <v>11289.575999999999</v>
      </c>
      <c r="L20" s="283">
        <v>10189.415999999999</v>
      </c>
      <c r="M20" s="283">
        <v>13432.368</v>
      </c>
      <c r="N20" s="283">
        <v>13738.128000000001</v>
      </c>
      <c r="O20" s="283">
        <v>12290.448</v>
      </c>
      <c r="P20" s="283">
        <v>14838.504000000001</v>
      </c>
      <c r="Q20" s="283">
        <v>14386.296</v>
      </c>
      <c r="R20" s="283">
        <v>13248.696</v>
      </c>
      <c r="S20" s="321">
        <f>SUM(G20:R20)</f>
        <v>152098.79999999999</v>
      </c>
    </row>
    <row r="21" spans="1:19" ht="27.6" x14ac:dyDescent="0.3">
      <c r="A21" s="185" t="s">
        <v>460</v>
      </c>
      <c r="B21" s="96" t="s">
        <v>364</v>
      </c>
      <c r="C21" s="97" t="s">
        <v>865</v>
      </c>
      <c r="D21" s="185" t="s">
        <v>1087</v>
      </c>
      <c r="E21" s="185" t="s">
        <v>1130</v>
      </c>
      <c r="F21" s="187" t="s">
        <v>35</v>
      </c>
      <c r="G21" s="188">
        <v>25539.761999999999</v>
      </c>
      <c r="H21" s="188">
        <v>23565.761999999999</v>
      </c>
      <c r="I21" s="188">
        <v>26464.761999999999</v>
      </c>
      <c r="J21" s="188">
        <v>28974.261999999999</v>
      </c>
      <c r="K21" s="188">
        <v>28348.261999999999</v>
      </c>
      <c r="L21" s="188">
        <v>25839.761999999999</v>
      </c>
      <c r="M21" s="188">
        <v>19829.761999999999</v>
      </c>
      <c r="N21" s="188">
        <v>30453.261999999999</v>
      </c>
      <c r="O21" s="188">
        <v>25865.261999999999</v>
      </c>
      <c r="P21" s="188">
        <v>21183.261999999999</v>
      </c>
      <c r="Q21" s="188">
        <v>23205.261999999999</v>
      </c>
      <c r="R21" s="188">
        <v>21431.352999999999</v>
      </c>
      <c r="S21" s="321">
        <f>SUM(G21:R21)</f>
        <v>300700.73499999993</v>
      </c>
    </row>
    <row r="22" spans="1:19" x14ac:dyDescent="0.3">
      <c r="A22" s="269" t="s">
        <v>460</v>
      </c>
      <c r="B22" s="258" t="s">
        <v>364</v>
      </c>
      <c r="C22" s="259" t="s">
        <v>865</v>
      </c>
      <c r="D22" s="269" t="s">
        <v>1196</v>
      </c>
      <c r="E22" s="269" t="s">
        <v>1130</v>
      </c>
      <c r="F22" s="282" t="s">
        <v>35</v>
      </c>
      <c r="G22" s="283">
        <v>850</v>
      </c>
      <c r="H22" s="283">
        <v>1590</v>
      </c>
      <c r="I22" s="283">
        <v>2680</v>
      </c>
      <c r="J22" s="283">
        <v>4520</v>
      </c>
      <c r="K22" s="283">
        <v>5580</v>
      </c>
      <c r="L22" s="283">
        <v>5894.24</v>
      </c>
      <c r="M22" s="283">
        <v>5520.96</v>
      </c>
      <c r="N22" s="283">
        <v>4906.0110000000004</v>
      </c>
      <c r="O22" s="283">
        <v>3022.8240000000001</v>
      </c>
      <c r="P22" s="283">
        <v>2137.2919999999999</v>
      </c>
      <c r="Q22" s="283">
        <v>791.23</v>
      </c>
      <c r="R22" s="283">
        <v>533.62599999999998</v>
      </c>
      <c r="S22" s="321">
        <f t="shared" ref="S22:S24" si="0">SUM(G22:R22)</f>
        <v>38026.182999999997</v>
      </c>
    </row>
    <row r="23" spans="1:19" x14ac:dyDescent="0.3">
      <c r="A23" s="185" t="s">
        <v>1094</v>
      </c>
      <c r="B23" s="96" t="s">
        <v>364</v>
      </c>
      <c r="C23" s="97" t="s">
        <v>865</v>
      </c>
      <c r="D23" s="185" t="s">
        <v>1080</v>
      </c>
      <c r="E23" s="185" t="s">
        <v>1130</v>
      </c>
      <c r="F23" s="187" t="s">
        <v>35</v>
      </c>
      <c r="G23" s="188">
        <v>19711.438999999998</v>
      </c>
      <c r="H23" s="188">
        <v>18259.687999999998</v>
      </c>
      <c r="I23" s="188">
        <v>17983.701000000001</v>
      </c>
      <c r="J23" s="188">
        <v>18609.366000000002</v>
      </c>
      <c r="K23" s="188">
        <v>19477.187999999998</v>
      </c>
      <c r="L23" s="188">
        <v>18074.34</v>
      </c>
      <c r="M23" s="188">
        <v>22044.080000000002</v>
      </c>
      <c r="N23" s="188">
        <v>23255</v>
      </c>
      <c r="O23" s="188">
        <v>16925.554</v>
      </c>
      <c r="P23" s="188">
        <v>18113.185000000001</v>
      </c>
      <c r="Q23" s="188">
        <v>18442.306</v>
      </c>
      <c r="R23" s="188">
        <v>17380.081999999999</v>
      </c>
      <c r="S23" s="321">
        <f t="shared" si="0"/>
        <v>228275.92899999997</v>
      </c>
    </row>
    <row r="24" spans="1:19" ht="27.6" x14ac:dyDescent="0.3">
      <c r="A24" s="269" t="s">
        <v>1094</v>
      </c>
      <c r="B24" s="258" t="s">
        <v>364</v>
      </c>
      <c r="C24" s="259" t="s">
        <v>865</v>
      </c>
      <c r="D24" s="269" t="s">
        <v>1087</v>
      </c>
      <c r="E24" s="269" t="s">
        <v>1130</v>
      </c>
      <c r="F24" s="282" t="s">
        <v>35</v>
      </c>
      <c r="G24" s="283">
        <v>28754</v>
      </c>
      <c r="H24" s="283">
        <v>26256</v>
      </c>
      <c r="I24" s="283">
        <v>25929</v>
      </c>
      <c r="J24" s="283">
        <v>25552</v>
      </c>
      <c r="K24" s="283">
        <v>24976</v>
      </c>
      <c r="L24" s="283">
        <v>23946</v>
      </c>
      <c r="M24" s="283">
        <v>25338</v>
      </c>
      <c r="N24" s="283">
        <v>24802</v>
      </c>
      <c r="O24" s="283">
        <v>25571</v>
      </c>
      <c r="P24" s="283">
        <v>25845</v>
      </c>
      <c r="Q24" s="283">
        <v>31597</v>
      </c>
      <c r="R24" s="283">
        <v>29840</v>
      </c>
      <c r="S24" s="321">
        <f t="shared" si="0"/>
        <v>318406</v>
      </c>
    </row>
    <row r="25" spans="1:19" x14ac:dyDescent="0.3">
      <c r="A25" s="185" t="s">
        <v>1095</v>
      </c>
      <c r="B25" s="96" t="s">
        <v>364</v>
      </c>
      <c r="C25" s="97" t="s">
        <v>865</v>
      </c>
      <c r="D25" s="185" t="s">
        <v>1080</v>
      </c>
      <c r="E25" s="185" t="s">
        <v>1130</v>
      </c>
      <c r="F25" s="187" t="s">
        <v>35</v>
      </c>
      <c r="G25" s="188">
        <v>16732.219000000001</v>
      </c>
      <c r="H25" s="188">
        <v>14187.313</v>
      </c>
      <c r="I25" s="188">
        <v>14233.5</v>
      </c>
      <c r="J25" s="188">
        <v>13459.688</v>
      </c>
      <c r="K25" s="188">
        <v>13710.625</v>
      </c>
      <c r="L25" s="188">
        <v>11464.813</v>
      </c>
      <c r="M25" s="188">
        <v>12190.438</v>
      </c>
      <c r="N25" s="188">
        <v>12324.5</v>
      </c>
      <c r="O25" s="188">
        <v>13215.5</v>
      </c>
      <c r="P25" s="188">
        <v>13653.188</v>
      </c>
      <c r="Q25" s="188">
        <v>14183.063</v>
      </c>
      <c r="R25" s="188">
        <v>15739.063</v>
      </c>
      <c r="S25" s="321">
        <f>SUM(G25:R25)</f>
        <v>165093.90999999997</v>
      </c>
    </row>
    <row r="26" spans="1:19" ht="27.6" x14ac:dyDescent="0.3">
      <c r="A26" s="269" t="s">
        <v>1095</v>
      </c>
      <c r="B26" s="258" t="s">
        <v>364</v>
      </c>
      <c r="C26" s="259" t="s">
        <v>865</v>
      </c>
      <c r="D26" s="269" t="s">
        <v>1087</v>
      </c>
      <c r="E26" s="269" t="s">
        <v>1130</v>
      </c>
      <c r="F26" s="282" t="s">
        <v>35</v>
      </c>
      <c r="G26" s="283">
        <v>59958.667000000001</v>
      </c>
      <c r="H26" s="283">
        <v>59141.667000000001</v>
      </c>
      <c r="I26" s="283">
        <v>53149.667000000001</v>
      </c>
      <c r="J26" s="283">
        <v>54822.896999999997</v>
      </c>
      <c r="K26" s="283">
        <v>51576.817000000003</v>
      </c>
      <c r="L26" s="283">
        <v>52244.517</v>
      </c>
      <c r="M26" s="283">
        <v>40324</v>
      </c>
      <c r="N26" s="283">
        <v>49088</v>
      </c>
      <c r="O26" s="283">
        <v>47218.34</v>
      </c>
      <c r="P26" s="283">
        <v>52410.66</v>
      </c>
      <c r="Q26" s="283">
        <v>53623.6</v>
      </c>
      <c r="R26" s="283">
        <v>48124.4</v>
      </c>
      <c r="S26" s="321">
        <f t="shared" ref="S26:S29" si="1">SUM(G26:R26)</f>
        <v>621683.23199999996</v>
      </c>
    </row>
    <row r="27" spans="1:19" x14ac:dyDescent="0.3">
      <c r="A27" s="185" t="s">
        <v>1095</v>
      </c>
      <c r="B27" s="96" t="s">
        <v>364</v>
      </c>
      <c r="C27" s="97" t="s">
        <v>865</v>
      </c>
      <c r="D27" s="185" t="s">
        <v>1196</v>
      </c>
      <c r="E27" s="185" t="s">
        <v>1130</v>
      </c>
      <c r="F27" s="187" t="s">
        <v>35</v>
      </c>
      <c r="G27" s="187"/>
      <c r="H27" s="187"/>
      <c r="I27" s="187"/>
      <c r="J27" s="187"/>
      <c r="K27" s="187"/>
      <c r="L27" s="187"/>
      <c r="M27" s="187"/>
      <c r="N27" s="187"/>
      <c r="O27" s="187"/>
      <c r="P27" s="187"/>
      <c r="Q27" s="187"/>
      <c r="R27" s="187"/>
      <c r="S27" s="286">
        <f t="shared" si="1"/>
        <v>0</v>
      </c>
    </row>
    <row r="28" spans="1:19" ht="27.6" x14ac:dyDescent="0.3">
      <c r="A28" s="269" t="s">
        <v>456</v>
      </c>
      <c r="B28" s="258" t="s">
        <v>364</v>
      </c>
      <c r="C28" s="259" t="s">
        <v>871</v>
      </c>
      <c r="D28" s="269" t="s">
        <v>1080</v>
      </c>
      <c r="E28" s="269" t="s">
        <v>1130</v>
      </c>
      <c r="F28" s="282" t="s">
        <v>35</v>
      </c>
      <c r="G28" s="283">
        <v>3875</v>
      </c>
      <c r="H28" s="283">
        <v>3600</v>
      </c>
      <c r="I28" s="283">
        <v>4875</v>
      </c>
      <c r="J28" s="283">
        <v>4875</v>
      </c>
      <c r="K28" s="283">
        <v>4361</v>
      </c>
      <c r="L28" s="283">
        <v>4636</v>
      </c>
      <c r="M28" s="283">
        <v>7250</v>
      </c>
      <c r="N28" s="283">
        <v>4538</v>
      </c>
      <c r="O28" s="283">
        <v>6180</v>
      </c>
      <c r="P28" s="283">
        <v>7056</v>
      </c>
      <c r="Q28" s="283">
        <v>8190</v>
      </c>
      <c r="R28" s="283">
        <v>8463</v>
      </c>
      <c r="S28" s="321">
        <f t="shared" si="1"/>
        <v>67899</v>
      </c>
    </row>
    <row r="29" spans="1:19" ht="27.6" x14ac:dyDescent="0.3">
      <c r="A29" s="185" t="s">
        <v>456</v>
      </c>
      <c r="B29" s="96" t="s">
        <v>364</v>
      </c>
      <c r="C29" s="97" t="s">
        <v>871</v>
      </c>
      <c r="D29" s="185" t="s">
        <v>1087</v>
      </c>
      <c r="E29" s="185" t="s">
        <v>1130</v>
      </c>
      <c r="F29" s="187" t="s">
        <v>35</v>
      </c>
      <c r="G29" s="188">
        <v>12530.083000000001</v>
      </c>
      <c r="H29" s="188">
        <v>12530.083000000001</v>
      </c>
      <c r="I29" s="188">
        <v>12530.083000000001</v>
      </c>
      <c r="J29" s="188">
        <v>12530.083000000001</v>
      </c>
      <c r="K29" s="188">
        <v>12530.083000000001</v>
      </c>
      <c r="L29" s="188">
        <v>12530.083000000001</v>
      </c>
      <c r="M29" s="188">
        <v>12530.083000000001</v>
      </c>
      <c r="N29" s="188">
        <v>12530.083000000001</v>
      </c>
      <c r="O29" s="188">
        <v>12530.083000000001</v>
      </c>
      <c r="P29" s="188">
        <v>12530.083000000001</v>
      </c>
      <c r="Q29" s="188">
        <v>12530.083000000001</v>
      </c>
      <c r="R29" s="188">
        <v>12530.083000000001</v>
      </c>
      <c r="S29" s="321">
        <f t="shared" si="1"/>
        <v>150360.99600000001</v>
      </c>
    </row>
    <row r="30" spans="1:19" ht="27.6" x14ac:dyDescent="0.3">
      <c r="A30" s="269" t="s">
        <v>835</v>
      </c>
      <c r="B30" s="258" t="s">
        <v>505</v>
      </c>
      <c r="C30" s="259" t="s">
        <v>865</v>
      </c>
      <c r="D30" s="269" t="s">
        <v>1087</v>
      </c>
      <c r="E30" s="269" t="s">
        <v>1130</v>
      </c>
      <c r="F30" s="282" t="s">
        <v>35</v>
      </c>
      <c r="G30" s="282"/>
      <c r="H30" s="282"/>
      <c r="I30" s="282"/>
      <c r="J30" s="282"/>
      <c r="K30" s="282"/>
      <c r="L30" s="282"/>
      <c r="M30" s="282"/>
      <c r="N30" s="282"/>
      <c r="O30" s="282"/>
      <c r="P30" s="282"/>
      <c r="Q30" s="282"/>
      <c r="R30" s="282"/>
      <c r="S30">
        <v>0</v>
      </c>
    </row>
    <row r="31" spans="1:19" ht="27.6" x14ac:dyDescent="0.3">
      <c r="A31" s="185" t="s">
        <v>835</v>
      </c>
      <c r="B31" s="96" t="s">
        <v>505</v>
      </c>
      <c r="C31" s="97" t="s">
        <v>865</v>
      </c>
      <c r="D31" s="185" t="s">
        <v>1092</v>
      </c>
      <c r="E31" s="185" t="s">
        <v>1130</v>
      </c>
      <c r="F31" s="187" t="s">
        <v>35</v>
      </c>
      <c r="G31" s="189">
        <v>24155.98</v>
      </c>
      <c r="H31" s="189">
        <v>24155.98</v>
      </c>
      <c r="I31" s="189">
        <v>24155.98</v>
      </c>
      <c r="J31" s="189">
        <v>24155.98</v>
      </c>
      <c r="K31" s="189">
        <v>24155.98</v>
      </c>
      <c r="L31" s="189">
        <v>24155.98</v>
      </c>
      <c r="M31" s="189">
        <v>24155.98</v>
      </c>
      <c r="N31" s="189">
        <v>24155.98</v>
      </c>
      <c r="O31" s="189">
        <v>24155.98</v>
      </c>
      <c r="P31" s="189">
        <v>6294.75</v>
      </c>
      <c r="Q31" s="189">
        <v>6294.75</v>
      </c>
      <c r="R31" s="189">
        <v>6294.75</v>
      </c>
      <c r="S31">
        <v>0</v>
      </c>
    </row>
    <row r="32" spans="1:19" x14ac:dyDescent="0.3">
      <c r="A32" s="269" t="s">
        <v>461</v>
      </c>
      <c r="B32" s="258" t="s">
        <v>364</v>
      </c>
      <c r="C32" s="259" t="s">
        <v>865</v>
      </c>
      <c r="D32" s="269" t="s">
        <v>1080</v>
      </c>
      <c r="E32" s="269" t="s">
        <v>1130</v>
      </c>
      <c r="F32" s="282" t="s">
        <v>35</v>
      </c>
      <c r="G32" s="283">
        <v>21007.727999999999</v>
      </c>
      <c r="H32" s="283">
        <v>26747.856</v>
      </c>
      <c r="I32" s="283">
        <v>25850.207999999999</v>
      </c>
      <c r="J32" s="283">
        <v>29270.304</v>
      </c>
      <c r="K32" s="283">
        <v>28614.312000000002</v>
      </c>
      <c r="L32" s="283">
        <v>23017.103999999999</v>
      </c>
      <c r="M32" s="283">
        <v>27462.936000000002</v>
      </c>
      <c r="N32" s="283">
        <v>26191.439999999999</v>
      </c>
      <c r="O32" s="283">
        <v>27161.279999999999</v>
      </c>
      <c r="P32" s="283">
        <v>27590.664000000001</v>
      </c>
      <c r="Q32" s="283">
        <v>26549.856</v>
      </c>
      <c r="R32" s="283">
        <v>25332.864000000001</v>
      </c>
      <c r="S32" s="321">
        <f>SUM(G32:R32)</f>
        <v>314796.55199999997</v>
      </c>
    </row>
    <row r="33" spans="1:19" ht="27.6" x14ac:dyDescent="0.3">
      <c r="A33" s="185" t="s">
        <v>461</v>
      </c>
      <c r="B33" s="96" t="s">
        <v>364</v>
      </c>
      <c r="C33" s="97" t="s">
        <v>865</v>
      </c>
      <c r="D33" s="185" t="s">
        <v>1087</v>
      </c>
      <c r="E33" s="185" t="s">
        <v>1130</v>
      </c>
      <c r="F33" s="187" t="s">
        <v>35</v>
      </c>
      <c r="G33" s="188">
        <v>30955</v>
      </c>
      <c r="H33" s="188">
        <v>30914</v>
      </c>
      <c r="I33" s="188">
        <v>30471</v>
      </c>
      <c r="J33" s="188">
        <v>40670</v>
      </c>
      <c r="K33" s="188">
        <v>40597</v>
      </c>
      <c r="L33" s="188">
        <v>28908</v>
      </c>
      <c r="M33" s="188">
        <v>31289</v>
      </c>
      <c r="N33" s="188">
        <v>29023.5</v>
      </c>
      <c r="O33" s="188">
        <v>29982.5</v>
      </c>
      <c r="P33" s="188">
        <v>34849.5</v>
      </c>
      <c r="Q33" s="188">
        <v>35146.5</v>
      </c>
      <c r="R33" s="188">
        <v>30259.5</v>
      </c>
      <c r="S33" s="321">
        <f t="shared" ref="S33:S46" si="2">SUM(G33:R33)</f>
        <v>393065.5</v>
      </c>
    </row>
    <row r="34" spans="1:19" x14ac:dyDescent="0.3">
      <c r="A34" s="269" t="s">
        <v>462</v>
      </c>
      <c r="B34" s="258" t="s">
        <v>364</v>
      </c>
      <c r="C34" s="259" t="s">
        <v>865</v>
      </c>
      <c r="D34" s="269" t="s">
        <v>1080</v>
      </c>
      <c r="E34" s="269" t="s">
        <v>1130</v>
      </c>
      <c r="F34" s="282" t="s">
        <v>35</v>
      </c>
      <c r="G34" s="283">
        <v>25642.881000000001</v>
      </c>
      <c r="H34" s="283">
        <v>21972.721000000001</v>
      </c>
      <c r="I34" s="283">
        <v>22120</v>
      </c>
      <c r="J34" s="283">
        <v>24234.26</v>
      </c>
      <c r="K34" s="283">
        <v>22238.618999999999</v>
      </c>
      <c r="L34" s="283">
        <v>20736.97</v>
      </c>
      <c r="M34" s="283">
        <v>22476.959999999999</v>
      </c>
      <c r="N34" s="283">
        <v>21687.57</v>
      </c>
      <c r="O34" s="283">
        <v>21670.618999999999</v>
      </c>
      <c r="P34" s="283">
        <v>23551.41</v>
      </c>
      <c r="Q34" s="283">
        <v>24572.528999999999</v>
      </c>
      <c r="R34" s="283">
        <v>19782.400000000001</v>
      </c>
      <c r="S34" s="321">
        <f t="shared" si="2"/>
        <v>270686.93900000001</v>
      </c>
    </row>
    <row r="35" spans="1:19" ht="27.6" x14ac:dyDescent="0.3">
      <c r="A35" s="185" t="s">
        <v>462</v>
      </c>
      <c r="B35" s="96" t="s">
        <v>364</v>
      </c>
      <c r="C35" s="97" t="s">
        <v>865</v>
      </c>
      <c r="D35" s="185" t="s">
        <v>1087</v>
      </c>
      <c r="E35" s="185" t="s">
        <v>1130</v>
      </c>
      <c r="F35" s="187" t="s">
        <v>35</v>
      </c>
      <c r="G35" s="188">
        <v>14424.12</v>
      </c>
      <c r="H35" s="188">
        <v>11319.28</v>
      </c>
      <c r="I35" s="188">
        <v>9480</v>
      </c>
      <c r="J35" s="188">
        <v>8514.74</v>
      </c>
      <c r="K35" s="188">
        <v>9083.3799999999992</v>
      </c>
      <c r="L35" s="188">
        <v>8470.0300000000007</v>
      </c>
      <c r="M35" s="188">
        <v>8741.0400000000009</v>
      </c>
      <c r="N35" s="188">
        <v>8021.43</v>
      </c>
      <c r="O35" s="188">
        <v>8851.3799999999992</v>
      </c>
      <c r="P35" s="188">
        <v>9619.59</v>
      </c>
      <c r="Q35" s="188">
        <v>9088.4699999999993</v>
      </c>
      <c r="R35" s="188">
        <v>11127.6</v>
      </c>
      <c r="S35" s="321">
        <f t="shared" si="2"/>
        <v>116741.06</v>
      </c>
    </row>
    <row r="36" spans="1:19" ht="27.6" x14ac:dyDescent="0.3">
      <c r="A36" s="269" t="s">
        <v>1096</v>
      </c>
      <c r="B36" s="258" t="s">
        <v>505</v>
      </c>
      <c r="C36" s="259" t="s">
        <v>872</v>
      </c>
      <c r="D36" s="269" t="s">
        <v>1087</v>
      </c>
      <c r="E36" s="269" t="s">
        <v>1130</v>
      </c>
      <c r="F36" s="282" t="s">
        <v>35</v>
      </c>
      <c r="G36" s="282"/>
      <c r="H36" s="282"/>
      <c r="I36" s="282"/>
      <c r="J36" s="282"/>
      <c r="K36" s="282"/>
      <c r="L36" s="282"/>
      <c r="M36" s="282"/>
      <c r="N36" s="282"/>
      <c r="O36" s="282"/>
      <c r="P36" s="282"/>
      <c r="Q36" s="282"/>
      <c r="R36" s="282"/>
      <c r="S36" s="286">
        <f>SUM(G36:R36)</f>
        <v>0</v>
      </c>
    </row>
    <row r="37" spans="1:19" ht="27.6" x14ac:dyDescent="0.3">
      <c r="A37" s="185" t="s">
        <v>1096</v>
      </c>
      <c r="B37" s="96" t="s">
        <v>505</v>
      </c>
      <c r="C37" s="97" t="s">
        <v>872</v>
      </c>
      <c r="D37" s="185" t="s">
        <v>1092</v>
      </c>
      <c r="E37" s="185" t="s">
        <v>1130</v>
      </c>
      <c r="F37" s="187" t="s">
        <v>35</v>
      </c>
      <c r="G37" s="188">
        <v>65844</v>
      </c>
      <c r="H37" s="188">
        <v>63502</v>
      </c>
      <c r="I37" s="188">
        <v>61251</v>
      </c>
      <c r="J37" s="188">
        <v>46100</v>
      </c>
      <c r="K37" s="188">
        <v>41350</v>
      </c>
      <c r="L37" s="188">
        <v>36970</v>
      </c>
      <c r="M37" s="188">
        <v>35445</v>
      </c>
      <c r="N37" s="188">
        <v>34737</v>
      </c>
      <c r="O37" s="188">
        <v>38775</v>
      </c>
      <c r="P37" s="188">
        <v>43737</v>
      </c>
      <c r="Q37" s="188">
        <v>52043</v>
      </c>
      <c r="R37" s="188">
        <v>52728</v>
      </c>
      <c r="S37" s="321">
        <f t="shared" si="2"/>
        <v>572482</v>
      </c>
    </row>
    <row r="38" spans="1:19" x14ac:dyDescent="0.3">
      <c r="A38" s="269" t="s">
        <v>459</v>
      </c>
      <c r="B38" s="258" t="s">
        <v>364</v>
      </c>
      <c r="C38" s="259" t="s">
        <v>865</v>
      </c>
      <c r="D38" s="269" t="s">
        <v>1080</v>
      </c>
      <c r="E38" s="269" t="s">
        <v>1130</v>
      </c>
      <c r="F38" s="282" t="s">
        <v>35</v>
      </c>
      <c r="G38" s="283">
        <v>37394.351999999999</v>
      </c>
      <c r="H38" s="283">
        <v>33263.735999999997</v>
      </c>
      <c r="I38" s="283">
        <v>35092.872000000003</v>
      </c>
      <c r="J38" s="283">
        <v>37094.832000000002</v>
      </c>
      <c r="K38" s="283">
        <v>39453.192000000003</v>
      </c>
      <c r="L38" s="283">
        <v>35482.175999999999</v>
      </c>
      <c r="M38" s="283">
        <v>38145.216</v>
      </c>
      <c r="N38" s="283">
        <v>38208.239999999998</v>
      </c>
      <c r="O38" s="283">
        <v>40660.660000000003</v>
      </c>
      <c r="P38" s="283">
        <v>40769.17</v>
      </c>
      <c r="Q38" s="283">
        <v>39321.89</v>
      </c>
      <c r="R38" s="283">
        <v>39342.504000000001</v>
      </c>
      <c r="S38" s="321">
        <f>SUM(G38:R38)</f>
        <v>454228.83999999997</v>
      </c>
    </row>
    <row r="39" spans="1:19" ht="27.6" x14ac:dyDescent="0.3">
      <c r="A39" s="185" t="s">
        <v>459</v>
      </c>
      <c r="B39" s="96" t="s">
        <v>364</v>
      </c>
      <c r="C39" s="97" t="s">
        <v>865</v>
      </c>
      <c r="D39" s="185" t="s">
        <v>1087</v>
      </c>
      <c r="E39" s="185" t="s">
        <v>1130</v>
      </c>
      <c r="F39" s="187" t="s">
        <v>35</v>
      </c>
      <c r="G39" s="188">
        <v>41483.25</v>
      </c>
      <c r="H39" s="188">
        <v>40159.294999999998</v>
      </c>
      <c r="I39" s="188">
        <v>37682.01</v>
      </c>
      <c r="J39" s="188">
        <v>67112.623000000007</v>
      </c>
      <c r="K39" s="188">
        <v>66686.148000000001</v>
      </c>
      <c r="L39" s="188">
        <v>64484.873</v>
      </c>
      <c r="M39" s="188">
        <v>68627.418000000005</v>
      </c>
      <c r="N39" s="188">
        <v>67675.612999999998</v>
      </c>
      <c r="O39" s="188">
        <v>66780.232999999993</v>
      </c>
      <c r="P39" s="188">
        <v>72495.929999999993</v>
      </c>
      <c r="Q39" s="188">
        <v>71591.850000000006</v>
      </c>
      <c r="R39" s="188">
        <v>72519.820000000007</v>
      </c>
      <c r="S39" s="321">
        <f t="shared" si="2"/>
        <v>737299.06300000008</v>
      </c>
    </row>
    <row r="40" spans="1:19" ht="27.6" x14ac:dyDescent="0.3">
      <c r="A40" s="269" t="s">
        <v>516</v>
      </c>
      <c r="B40" s="258" t="s">
        <v>505</v>
      </c>
      <c r="C40" s="259" t="s">
        <v>1139</v>
      </c>
      <c r="D40" s="269" t="s">
        <v>1092</v>
      </c>
      <c r="E40" s="269" t="s">
        <v>1130</v>
      </c>
      <c r="F40" s="282" t="s">
        <v>35</v>
      </c>
      <c r="G40" s="189">
        <v>42078.04</v>
      </c>
      <c r="H40" s="189">
        <v>42078.04</v>
      </c>
      <c r="I40" s="189">
        <v>42078.04</v>
      </c>
      <c r="J40" s="189">
        <v>42078.04</v>
      </c>
      <c r="K40" s="189">
        <v>42078.04</v>
      </c>
      <c r="L40" s="189">
        <v>42078.04</v>
      </c>
      <c r="M40" s="189">
        <v>42078.04</v>
      </c>
      <c r="N40" s="189">
        <v>42078.04</v>
      </c>
      <c r="O40" s="189">
        <v>42078.04</v>
      </c>
      <c r="P40" s="189">
        <v>42078.04</v>
      </c>
      <c r="Q40" s="189">
        <v>42078.04</v>
      </c>
      <c r="R40" s="189">
        <v>42078.04</v>
      </c>
      <c r="S40" s="286">
        <v>0</v>
      </c>
    </row>
    <row r="41" spans="1:19" ht="27.6" x14ac:dyDescent="0.3">
      <c r="A41" s="185" t="s">
        <v>836</v>
      </c>
      <c r="B41" s="96" t="s">
        <v>364</v>
      </c>
      <c r="C41" s="97" t="s">
        <v>871</v>
      </c>
      <c r="D41" s="185" t="s">
        <v>1087</v>
      </c>
      <c r="E41" s="185" t="s">
        <v>1130</v>
      </c>
      <c r="F41" s="187" t="s">
        <v>35</v>
      </c>
      <c r="G41" s="188">
        <v>1743.0830000000001</v>
      </c>
      <c r="H41" s="188">
        <v>1743.0830000000001</v>
      </c>
      <c r="I41" s="188">
        <v>1743.0830000000001</v>
      </c>
      <c r="J41" s="188">
        <v>1743.0830000000001</v>
      </c>
      <c r="K41" s="188">
        <v>1743.0830000000001</v>
      </c>
      <c r="L41" s="188">
        <v>1743.0830000000001</v>
      </c>
      <c r="M41" s="188">
        <v>1743.0830000000001</v>
      </c>
      <c r="N41" s="188">
        <v>1743.0830000000001</v>
      </c>
      <c r="O41" s="188">
        <v>1743.0830000000001</v>
      </c>
      <c r="P41" s="188">
        <v>1743.0830000000001</v>
      </c>
      <c r="Q41" s="188">
        <v>1743.0830000000001</v>
      </c>
      <c r="R41" s="188">
        <v>1743.0830000000001</v>
      </c>
      <c r="S41" s="321">
        <f t="shared" si="2"/>
        <v>20916.995999999999</v>
      </c>
    </row>
    <row r="42" spans="1:19" ht="27.6" x14ac:dyDescent="0.3">
      <c r="A42" s="269" t="s">
        <v>836</v>
      </c>
      <c r="B42" s="258" t="s">
        <v>364</v>
      </c>
      <c r="C42" s="259" t="s">
        <v>871</v>
      </c>
      <c r="D42" s="269" t="s">
        <v>1092</v>
      </c>
      <c r="E42" s="269" t="s">
        <v>1130</v>
      </c>
      <c r="F42" s="282" t="s">
        <v>35</v>
      </c>
      <c r="G42" s="283">
        <v>6959</v>
      </c>
      <c r="H42" s="283">
        <v>2874</v>
      </c>
      <c r="I42" s="283">
        <v>4953</v>
      </c>
      <c r="J42" s="283">
        <v>2620</v>
      </c>
      <c r="K42" s="283">
        <v>2090</v>
      </c>
      <c r="L42" s="283">
        <v>1064</v>
      </c>
      <c r="M42" s="283">
        <v>884</v>
      </c>
      <c r="N42" s="283">
        <v>729</v>
      </c>
      <c r="O42" s="283">
        <v>1294</v>
      </c>
      <c r="P42" s="283">
        <v>1900</v>
      </c>
      <c r="Q42" s="283">
        <v>2727</v>
      </c>
      <c r="R42" s="283">
        <v>3212</v>
      </c>
      <c r="S42" s="321">
        <f t="shared" si="2"/>
        <v>31306</v>
      </c>
    </row>
    <row r="43" spans="1:19" ht="27.6" x14ac:dyDescent="0.3">
      <c r="A43" s="185" t="s">
        <v>1097</v>
      </c>
      <c r="B43" s="96" t="s">
        <v>505</v>
      </c>
      <c r="C43" s="97" t="s">
        <v>865</v>
      </c>
      <c r="D43" s="185" t="s">
        <v>1092</v>
      </c>
      <c r="E43" s="185" t="s">
        <v>1130</v>
      </c>
      <c r="F43" s="187" t="s">
        <v>35</v>
      </c>
      <c r="G43" s="188">
        <v>86990</v>
      </c>
      <c r="H43" s="188">
        <v>111790</v>
      </c>
      <c r="I43" s="188">
        <v>68990</v>
      </c>
      <c r="J43" s="188">
        <v>104370</v>
      </c>
      <c r="K43" s="188">
        <v>80240</v>
      </c>
      <c r="L43" s="188">
        <v>134950</v>
      </c>
      <c r="M43" s="188">
        <v>98490</v>
      </c>
      <c r="N43" s="188">
        <v>188530</v>
      </c>
      <c r="O43" s="188">
        <v>102650</v>
      </c>
      <c r="P43" s="188">
        <v>111220</v>
      </c>
      <c r="Q43" s="188">
        <v>113890</v>
      </c>
      <c r="R43" s="188">
        <v>92440</v>
      </c>
      <c r="S43" s="321">
        <f t="shared" si="2"/>
        <v>1294550</v>
      </c>
    </row>
    <row r="44" spans="1:19" ht="27.6" x14ac:dyDescent="0.3">
      <c r="A44" s="284" t="s">
        <v>839</v>
      </c>
      <c r="B44" s="258" t="s">
        <v>505</v>
      </c>
      <c r="C44" s="259" t="s">
        <v>865</v>
      </c>
      <c r="D44" s="269" t="s">
        <v>1092</v>
      </c>
      <c r="E44" s="269" t="s">
        <v>1130</v>
      </c>
      <c r="F44" s="282" t="s">
        <v>35</v>
      </c>
      <c r="G44" s="283">
        <v>2560.66</v>
      </c>
      <c r="H44" s="283">
        <v>2560.66</v>
      </c>
      <c r="I44" s="283">
        <v>2560.66</v>
      </c>
      <c r="J44" s="283">
        <v>4762</v>
      </c>
      <c r="K44" s="283">
        <v>4762</v>
      </c>
      <c r="L44" s="283">
        <v>4762</v>
      </c>
      <c r="M44" s="283">
        <v>4945</v>
      </c>
      <c r="N44" s="283">
        <v>4945</v>
      </c>
      <c r="O44" s="283">
        <v>4945</v>
      </c>
      <c r="P44" s="283">
        <v>7123</v>
      </c>
      <c r="Q44" s="283">
        <v>7123</v>
      </c>
      <c r="R44" s="283">
        <v>7123</v>
      </c>
      <c r="S44" s="321">
        <f t="shared" si="2"/>
        <v>58171.979999999996</v>
      </c>
    </row>
    <row r="45" spans="1:19" ht="27.6" x14ac:dyDescent="0.3">
      <c r="A45" s="285" t="s">
        <v>514</v>
      </c>
      <c r="B45" s="96" t="s">
        <v>505</v>
      </c>
      <c r="C45" s="97" t="s">
        <v>865</v>
      </c>
      <c r="D45" s="185" t="s">
        <v>1092</v>
      </c>
      <c r="E45" s="185" t="s">
        <v>1130</v>
      </c>
      <c r="F45" s="187" t="s">
        <v>35</v>
      </c>
      <c r="G45" s="189">
        <v>13670.416999999999</v>
      </c>
      <c r="H45" s="189">
        <v>3186.85</v>
      </c>
      <c r="I45" s="189">
        <v>14089</v>
      </c>
      <c r="J45" s="189">
        <v>10334.15</v>
      </c>
      <c r="K45" s="189">
        <v>12158</v>
      </c>
      <c r="L45" s="189">
        <v>11893.5</v>
      </c>
      <c r="M45" s="189">
        <v>6526.5</v>
      </c>
      <c r="N45" s="189">
        <v>9487</v>
      </c>
      <c r="O45" s="189">
        <v>9487</v>
      </c>
      <c r="P45" s="189">
        <v>8633.5</v>
      </c>
      <c r="Q45" s="189">
        <v>12172</v>
      </c>
      <c r="R45" s="189">
        <v>13032.5</v>
      </c>
      <c r="S45" s="286">
        <v>0</v>
      </c>
    </row>
    <row r="46" spans="1:19" ht="27.6" x14ac:dyDescent="0.3">
      <c r="A46" s="258" t="s">
        <v>837</v>
      </c>
      <c r="B46" s="258" t="s">
        <v>364</v>
      </c>
      <c r="C46" s="259" t="s">
        <v>871</v>
      </c>
      <c r="D46" s="269" t="s">
        <v>1080</v>
      </c>
      <c r="E46" s="269" t="s">
        <v>1130</v>
      </c>
      <c r="F46" s="282" t="s">
        <v>35</v>
      </c>
      <c r="G46" s="283">
        <v>7546</v>
      </c>
      <c r="H46" s="283">
        <v>5214</v>
      </c>
      <c r="I46" s="283">
        <v>6479</v>
      </c>
      <c r="J46" s="283">
        <v>6701</v>
      </c>
      <c r="K46" s="283">
        <v>6379</v>
      </c>
      <c r="L46" s="283">
        <v>5999</v>
      </c>
      <c r="M46" s="283">
        <v>6939</v>
      </c>
      <c r="N46" s="283">
        <v>7396</v>
      </c>
      <c r="O46" s="283">
        <v>7467</v>
      </c>
      <c r="P46" s="283">
        <v>7565</v>
      </c>
      <c r="Q46" s="283">
        <v>7984</v>
      </c>
      <c r="R46" s="283">
        <v>8565</v>
      </c>
      <c r="S46" s="321">
        <f t="shared" si="2"/>
        <v>84234</v>
      </c>
    </row>
    <row r="47" spans="1:19" ht="27.6" x14ac:dyDescent="0.3">
      <c r="A47" s="96" t="s">
        <v>837</v>
      </c>
      <c r="B47" s="96" t="s">
        <v>364</v>
      </c>
      <c r="C47" s="97" t="s">
        <v>871</v>
      </c>
      <c r="D47" s="185" t="s">
        <v>1087</v>
      </c>
      <c r="E47" s="185" t="s">
        <v>1130</v>
      </c>
      <c r="F47" s="187" t="s">
        <v>35</v>
      </c>
      <c r="G47" s="189">
        <v>40506.758999999998</v>
      </c>
      <c r="H47" s="189">
        <v>40506.758999999998</v>
      </c>
      <c r="I47" s="189">
        <v>40506.758999999998</v>
      </c>
      <c r="J47" s="189">
        <v>40506.758999999998</v>
      </c>
      <c r="K47" s="189">
        <v>40506.758999999998</v>
      </c>
      <c r="L47" s="189">
        <v>40506.758999999998</v>
      </c>
      <c r="M47" s="189">
        <v>40506.758999999998</v>
      </c>
      <c r="N47" s="189">
        <v>40506.758999999998</v>
      </c>
      <c r="O47" s="189">
        <v>40506.758999999998</v>
      </c>
      <c r="P47" s="189">
        <v>40506.758999999998</v>
      </c>
      <c r="Q47" s="189">
        <v>40506.758999999998</v>
      </c>
      <c r="R47" s="189">
        <v>40506.758999999998</v>
      </c>
      <c r="S47" s="286">
        <v>0</v>
      </c>
    </row>
    <row r="50" spans="1:20" x14ac:dyDescent="0.3">
      <c r="D50" s="68" t="s">
        <v>1582</v>
      </c>
    </row>
    <row r="51" spans="1:20" ht="27.6" x14ac:dyDescent="0.3">
      <c r="A51" s="281" t="s">
        <v>1065</v>
      </c>
      <c r="B51" s="281" t="s">
        <v>864</v>
      </c>
      <c r="C51" s="281" t="s">
        <v>1112</v>
      </c>
      <c r="D51" s="281" t="s">
        <v>1070</v>
      </c>
      <c r="E51" s="281" t="s">
        <v>1113</v>
      </c>
      <c r="F51" s="281" t="s">
        <v>1114</v>
      </c>
      <c r="G51" s="255" t="s">
        <v>1115</v>
      </c>
      <c r="H51" s="255" t="s">
        <v>1116</v>
      </c>
      <c r="I51" s="255" t="s">
        <v>1117</v>
      </c>
      <c r="J51" s="255" t="s">
        <v>1118</v>
      </c>
      <c r="K51" s="255" t="s">
        <v>1119</v>
      </c>
      <c r="L51" s="255" t="s">
        <v>1120</v>
      </c>
      <c r="M51" s="255" t="s">
        <v>1121</v>
      </c>
      <c r="N51" s="255" t="s">
        <v>1122</v>
      </c>
      <c r="O51" s="255" t="s">
        <v>1123</v>
      </c>
      <c r="P51" s="255" t="s">
        <v>1124</v>
      </c>
      <c r="Q51" s="255" t="s">
        <v>1125</v>
      </c>
      <c r="R51" s="255" t="s">
        <v>1126</v>
      </c>
      <c r="S51" s="68" t="s">
        <v>1580</v>
      </c>
      <c r="T51" s="68" t="s">
        <v>1583</v>
      </c>
    </row>
    <row r="52" spans="1:20" x14ac:dyDescent="0.3">
      <c r="A52" s="258" t="s">
        <v>497</v>
      </c>
      <c r="B52" s="258" t="s">
        <v>364</v>
      </c>
      <c r="C52" s="259" t="s">
        <v>865</v>
      </c>
      <c r="D52" s="258" t="s">
        <v>1078</v>
      </c>
      <c r="E52" s="260" t="s">
        <v>1130</v>
      </c>
      <c r="F52" s="258" t="s">
        <v>35</v>
      </c>
      <c r="G52" s="283">
        <v>95018</v>
      </c>
      <c r="H52" s="283">
        <v>70840.44</v>
      </c>
      <c r="I52" s="283">
        <v>65069.73</v>
      </c>
      <c r="J52" s="283">
        <v>25238.564999999999</v>
      </c>
      <c r="K52" s="283">
        <v>23502.93</v>
      </c>
      <c r="L52" s="283">
        <v>20175.375</v>
      </c>
      <c r="M52" s="283">
        <v>20451.75</v>
      </c>
      <c r="N52" s="283">
        <v>15974.475</v>
      </c>
      <c r="O52" s="283">
        <v>19313.084999999999</v>
      </c>
      <c r="P52" s="283">
        <v>23513.985000000001</v>
      </c>
      <c r="Q52" s="283">
        <v>41566.800000000003</v>
      </c>
      <c r="R52" s="283">
        <v>51483.135000000002</v>
      </c>
      <c r="S52" s="286">
        <f>SUM(G52:R52)</f>
        <v>472148.27</v>
      </c>
      <c r="T52" s="287">
        <f>SUM(S52:S71)</f>
        <v>4413972.3318999996</v>
      </c>
    </row>
    <row r="53" spans="1:20" x14ac:dyDescent="0.3">
      <c r="A53" s="322" t="s">
        <v>499</v>
      </c>
      <c r="B53" s="258" t="s">
        <v>364</v>
      </c>
      <c r="C53" s="259" t="s">
        <v>865</v>
      </c>
      <c r="D53" s="258" t="s">
        <v>1078</v>
      </c>
      <c r="E53" s="260" t="s">
        <v>1130</v>
      </c>
      <c r="F53" s="258" t="s">
        <v>35</v>
      </c>
      <c r="G53" s="283">
        <v>5118.4650000000001</v>
      </c>
      <c r="H53" s="283">
        <v>4974.75</v>
      </c>
      <c r="I53" s="283">
        <v>5030.0249999999996</v>
      </c>
      <c r="J53" s="320">
        <v>4817.5478999999996</v>
      </c>
      <c r="K53" s="283">
        <v>5018.97</v>
      </c>
      <c r="L53" s="283">
        <v>4598.88</v>
      </c>
      <c r="M53" s="283">
        <v>4698.375</v>
      </c>
      <c r="N53" s="283">
        <v>4466.22</v>
      </c>
      <c r="O53" s="283">
        <v>4234.0649999999996</v>
      </c>
      <c r="P53" s="283">
        <v>4576.7700000000004</v>
      </c>
      <c r="Q53" s="283">
        <v>4278.2849999999999</v>
      </c>
      <c r="R53" s="283">
        <v>3592.875</v>
      </c>
      <c r="S53" s="321">
        <f t="shared" ref="S53:S69" si="3">SUM(G53:R53)</f>
        <v>55405.227900000013</v>
      </c>
    </row>
    <row r="54" spans="1:20" ht="27.6" x14ac:dyDescent="0.3">
      <c r="A54" s="185" t="s">
        <v>840</v>
      </c>
      <c r="B54" s="96" t="s">
        <v>505</v>
      </c>
      <c r="C54" s="97" t="s">
        <v>1204</v>
      </c>
      <c r="D54" s="96" t="s">
        <v>1205</v>
      </c>
      <c r="E54" s="98" t="s">
        <v>1130</v>
      </c>
      <c r="F54" s="96" t="s">
        <v>35</v>
      </c>
      <c r="G54" s="189">
        <v>3005.5765416613162</v>
      </c>
      <c r="H54" s="189">
        <v>3005.5765416613162</v>
      </c>
      <c r="I54" s="189">
        <v>3005.5765416613162</v>
      </c>
      <c r="J54" s="189">
        <v>3005.5765416613162</v>
      </c>
      <c r="K54" s="189">
        <v>3005.5765416613162</v>
      </c>
      <c r="L54" s="189">
        <v>3005.5765416613162</v>
      </c>
      <c r="M54" s="189">
        <v>3005.5765416613162</v>
      </c>
      <c r="N54" s="189">
        <v>3005.5765416613162</v>
      </c>
      <c r="O54" s="189">
        <v>3005.5765416613162</v>
      </c>
      <c r="P54" s="189">
        <v>3005.5765416613162</v>
      </c>
      <c r="Q54" s="189">
        <v>3005.5765416613162</v>
      </c>
      <c r="R54" s="189">
        <v>3005.5765416613162</v>
      </c>
      <c r="S54" s="286">
        <v>0</v>
      </c>
    </row>
    <row r="55" spans="1:20" ht="27.6" x14ac:dyDescent="0.3">
      <c r="A55" s="269" t="s">
        <v>1137</v>
      </c>
      <c r="B55" s="258" t="s">
        <v>505</v>
      </c>
      <c r="C55" s="259" t="s">
        <v>871</v>
      </c>
      <c r="D55" s="258" t="s">
        <v>1205</v>
      </c>
      <c r="E55" s="260" t="s">
        <v>1130</v>
      </c>
      <c r="F55" s="258" t="s">
        <v>35</v>
      </c>
      <c r="G55" s="282"/>
      <c r="H55" s="282"/>
      <c r="I55" s="282"/>
      <c r="J55" s="282"/>
      <c r="K55" s="282"/>
      <c r="L55" s="282"/>
      <c r="M55" s="282"/>
      <c r="N55" s="282"/>
      <c r="O55" s="282"/>
      <c r="P55" s="282"/>
      <c r="Q55" s="282"/>
      <c r="R55" s="282"/>
      <c r="S55" s="286">
        <f t="shared" si="3"/>
        <v>0</v>
      </c>
    </row>
    <row r="56" spans="1:20" x14ac:dyDescent="0.3">
      <c r="A56" s="185" t="s">
        <v>463</v>
      </c>
      <c r="B56" s="96" t="s">
        <v>364</v>
      </c>
      <c r="C56" s="97" t="s">
        <v>865</v>
      </c>
      <c r="D56" s="96" t="s">
        <v>1078</v>
      </c>
      <c r="E56" s="98" t="s">
        <v>1130</v>
      </c>
      <c r="F56" s="96" t="s">
        <v>35</v>
      </c>
      <c r="G56" s="188">
        <v>7042.0349999999999</v>
      </c>
      <c r="H56" s="188">
        <v>5273.2349999999997</v>
      </c>
      <c r="I56" s="188">
        <v>4831.0349999999999</v>
      </c>
      <c r="J56" s="188">
        <v>6964.65</v>
      </c>
      <c r="K56" s="188">
        <v>1779.855</v>
      </c>
      <c r="L56" s="188">
        <v>6721.44</v>
      </c>
      <c r="M56" s="188">
        <v>176.88</v>
      </c>
      <c r="N56" s="188">
        <v>619.08000000000004</v>
      </c>
      <c r="O56" s="188">
        <v>2498.4299999999998</v>
      </c>
      <c r="P56" s="188">
        <v>2597.9250000000002</v>
      </c>
      <c r="Q56" s="188">
        <v>5361.6750000000002</v>
      </c>
      <c r="R56" s="188">
        <v>7141.53</v>
      </c>
      <c r="S56" s="286">
        <f t="shared" si="3"/>
        <v>51007.770000000004</v>
      </c>
    </row>
    <row r="57" spans="1:20" ht="27.6" x14ac:dyDescent="0.3">
      <c r="A57" s="269" t="s">
        <v>517</v>
      </c>
      <c r="B57" s="258" t="s">
        <v>505</v>
      </c>
      <c r="C57" s="259" t="s">
        <v>871</v>
      </c>
      <c r="D57" s="258" t="s">
        <v>1205</v>
      </c>
      <c r="E57" s="260" t="s">
        <v>1130</v>
      </c>
      <c r="F57" s="258" t="s">
        <v>35</v>
      </c>
      <c r="G57" s="189">
        <v>8762.1742408645259</v>
      </c>
      <c r="H57" s="189">
        <v>8762.1742408645259</v>
      </c>
      <c r="I57" s="189">
        <v>8762.1742408645259</v>
      </c>
      <c r="J57" s="189">
        <v>8762.1742408645259</v>
      </c>
      <c r="K57" s="189">
        <v>8762.1742408645259</v>
      </c>
      <c r="L57" s="189">
        <v>8762.1742408645259</v>
      </c>
      <c r="M57" s="189">
        <v>8762.1742408645259</v>
      </c>
      <c r="N57" s="189">
        <v>8762.1742408645259</v>
      </c>
      <c r="O57" s="189">
        <v>8762.1742408645259</v>
      </c>
      <c r="P57" s="189">
        <v>8762.1742408645259</v>
      </c>
      <c r="Q57" s="189">
        <v>8762.1742408645259</v>
      </c>
      <c r="R57" s="189">
        <v>8762.1742408645259</v>
      </c>
      <c r="S57" s="286">
        <v>0</v>
      </c>
    </row>
    <row r="58" spans="1:20" x14ac:dyDescent="0.3">
      <c r="A58" s="185" t="s">
        <v>460</v>
      </c>
      <c r="B58" s="96" t="s">
        <v>364</v>
      </c>
      <c r="C58" s="97" t="s">
        <v>865</v>
      </c>
      <c r="D58" s="96" t="s">
        <v>1078</v>
      </c>
      <c r="E58" s="98" t="s">
        <v>1130</v>
      </c>
      <c r="F58" s="96" t="s">
        <v>35</v>
      </c>
      <c r="G58" s="188">
        <v>54766.47</v>
      </c>
      <c r="H58" s="188">
        <v>38460.345000000001</v>
      </c>
      <c r="I58" s="188">
        <v>32899.68</v>
      </c>
      <c r="J58" s="188">
        <v>25437.555</v>
      </c>
      <c r="K58" s="188">
        <v>5251.125</v>
      </c>
      <c r="L58" s="188">
        <v>3084.3449999999998</v>
      </c>
      <c r="M58" s="188">
        <v>1658.25</v>
      </c>
      <c r="N58" s="188">
        <v>176.88</v>
      </c>
      <c r="O58" s="188">
        <v>6002.8649999999998</v>
      </c>
      <c r="P58" s="188">
        <v>13907.19</v>
      </c>
      <c r="Q58" s="188">
        <v>39278.415000000001</v>
      </c>
      <c r="R58" s="188">
        <v>44308.44</v>
      </c>
      <c r="S58" s="286">
        <f t="shared" si="3"/>
        <v>265231.56</v>
      </c>
    </row>
    <row r="59" spans="1:20" x14ac:dyDescent="0.3">
      <c r="A59" s="269" t="s">
        <v>1094</v>
      </c>
      <c r="B59" s="258" t="s">
        <v>364</v>
      </c>
      <c r="C59" s="259" t="s">
        <v>865</v>
      </c>
      <c r="D59" s="258" t="s">
        <v>1078</v>
      </c>
      <c r="E59" s="260" t="s">
        <v>1130</v>
      </c>
      <c r="F59" s="258" t="s">
        <v>35</v>
      </c>
      <c r="G59" s="283">
        <v>118222.17</v>
      </c>
      <c r="H59" s="283">
        <v>77838.255000000005</v>
      </c>
      <c r="I59" s="283">
        <v>65489.82</v>
      </c>
      <c r="J59" s="283">
        <v>38338.74</v>
      </c>
      <c r="K59" s="283">
        <v>16151.355</v>
      </c>
      <c r="L59" s="283">
        <v>8390.7450000000008</v>
      </c>
      <c r="M59" s="283">
        <v>8412.8549999999996</v>
      </c>
      <c r="N59" s="283">
        <v>7605.84</v>
      </c>
      <c r="O59" s="283">
        <v>12657.975</v>
      </c>
      <c r="P59" s="283">
        <v>34403.160000000003</v>
      </c>
      <c r="Q59" s="283">
        <v>56756.37</v>
      </c>
      <c r="R59" s="283">
        <v>49968.6</v>
      </c>
      <c r="S59" s="286">
        <f t="shared" si="3"/>
        <v>494235.88499999989</v>
      </c>
    </row>
    <row r="60" spans="1:20" x14ac:dyDescent="0.3">
      <c r="A60" s="185" t="s">
        <v>1095</v>
      </c>
      <c r="B60" s="96" t="s">
        <v>364</v>
      </c>
      <c r="C60" s="97" t="s">
        <v>865</v>
      </c>
      <c r="D60" s="96" t="s">
        <v>1078</v>
      </c>
      <c r="E60" s="98" t="s">
        <v>1130</v>
      </c>
      <c r="F60" s="96" t="s">
        <v>35</v>
      </c>
      <c r="G60" s="188">
        <v>16880.985000000001</v>
      </c>
      <c r="H60" s="188">
        <v>12602.7</v>
      </c>
      <c r="I60" s="188">
        <v>11497.2</v>
      </c>
      <c r="J60" s="188">
        <v>10590.69</v>
      </c>
      <c r="K60" s="188">
        <v>6190.8</v>
      </c>
      <c r="L60" s="188">
        <v>5781.7650000000003</v>
      </c>
      <c r="M60" s="188">
        <v>5206.9049999999997</v>
      </c>
      <c r="N60" s="188">
        <v>4300.3950000000004</v>
      </c>
      <c r="O60" s="188">
        <v>6323.46</v>
      </c>
      <c r="P60" s="188">
        <v>5604.8850000000002</v>
      </c>
      <c r="Q60" s="188">
        <v>10867.065000000001</v>
      </c>
      <c r="R60" s="188">
        <v>19501.02</v>
      </c>
      <c r="S60" s="286">
        <f t="shared" si="3"/>
        <v>115347.87000000002</v>
      </c>
    </row>
    <row r="61" spans="1:20" ht="27.6" x14ac:dyDescent="0.3">
      <c r="A61" s="269" t="s">
        <v>456</v>
      </c>
      <c r="B61" s="258" t="s">
        <v>364</v>
      </c>
      <c r="C61" s="259" t="s">
        <v>871</v>
      </c>
      <c r="D61" s="258" t="s">
        <v>1205</v>
      </c>
      <c r="E61" s="260" t="s">
        <v>1130</v>
      </c>
      <c r="F61" s="258" t="s">
        <v>35</v>
      </c>
      <c r="G61" s="189">
        <v>40307.191616532458</v>
      </c>
      <c r="H61" s="189">
        <v>40307.191616532458</v>
      </c>
      <c r="I61" s="189">
        <v>40307.191616532458</v>
      </c>
      <c r="J61" s="189">
        <v>40307.191616532458</v>
      </c>
      <c r="K61" s="189">
        <v>40307.191616532458</v>
      </c>
      <c r="L61" s="189">
        <v>40307.191616532458</v>
      </c>
      <c r="M61" s="189">
        <v>40307.191616532458</v>
      </c>
      <c r="N61" s="189">
        <v>40307.191616532458</v>
      </c>
      <c r="O61" s="189">
        <v>40307.191616532458</v>
      </c>
      <c r="P61" s="189">
        <v>40307.191616532458</v>
      </c>
      <c r="Q61" s="189">
        <v>40307.191616532458</v>
      </c>
      <c r="R61" s="189">
        <v>40307.191616532458</v>
      </c>
      <c r="S61" s="286">
        <v>0</v>
      </c>
    </row>
    <row r="62" spans="1:20" ht="27.6" x14ac:dyDescent="0.3">
      <c r="A62" s="185" t="s">
        <v>835</v>
      </c>
      <c r="B62" s="96" t="s">
        <v>505</v>
      </c>
      <c r="C62" s="97" t="s">
        <v>865</v>
      </c>
      <c r="D62" s="96" t="s">
        <v>1205</v>
      </c>
      <c r="E62" s="98" t="s">
        <v>1130</v>
      </c>
      <c r="F62" s="96" t="s">
        <v>35</v>
      </c>
      <c r="G62" s="189">
        <v>13689.2770143088</v>
      </c>
      <c r="H62" s="189">
        <v>13689.2770143088</v>
      </c>
      <c r="I62" s="189">
        <v>13689.2770143088</v>
      </c>
      <c r="J62" s="189">
        <v>13689.2770143088</v>
      </c>
      <c r="K62" s="189">
        <v>13689.2770143088</v>
      </c>
      <c r="L62" s="189">
        <v>13689.2770143088</v>
      </c>
      <c r="M62" s="189">
        <v>13689.2770143088</v>
      </c>
      <c r="N62" s="189">
        <v>13689.2770143088</v>
      </c>
      <c r="O62" s="189">
        <v>13689.2770143088</v>
      </c>
      <c r="P62" s="189">
        <v>13689.2770143088</v>
      </c>
      <c r="Q62" s="189">
        <v>13689.2770143088</v>
      </c>
      <c r="R62" s="189">
        <v>13689.2770143088</v>
      </c>
      <c r="S62" s="286">
        <v>0</v>
      </c>
    </row>
    <row r="63" spans="1:20" x14ac:dyDescent="0.3">
      <c r="A63" s="269" t="s">
        <v>461</v>
      </c>
      <c r="B63" s="258" t="s">
        <v>364</v>
      </c>
      <c r="C63" s="259" t="s">
        <v>865</v>
      </c>
      <c r="D63" s="258" t="s">
        <v>1078</v>
      </c>
      <c r="E63" s="260" t="s">
        <v>1130</v>
      </c>
      <c r="F63" s="258" t="s">
        <v>35</v>
      </c>
      <c r="G63" s="283">
        <v>89814.137000000002</v>
      </c>
      <c r="H63" s="283">
        <v>67284.047000000006</v>
      </c>
      <c r="I63" s="283">
        <v>60763.807999999997</v>
      </c>
      <c r="J63" s="283">
        <v>66058.047000000006</v>
      </c>
      <c r="K63" s="283">
        <v>26246.780999999999</v>
      </c>
      <c r="L63" s="283">
        <v>21979.550999999999</v>
      </c>
      <c r="M63" s="283">
        <v>12006.835999999999</v>
      </c>
      <c r="N63" s="283">
        <v>7015.5029999999997</v>
      </c>
      <c r="O63" s="283">
        <v>38316.629999999997</v>
      </c>
      <c r="P63" s="283">
        <v>49342.887000000002</v>
      </c>
      <c r="Q63" s="283">
        <v>68598.486000000004</v>
      </c>
      <c r="R63" s="283">
        <v>74594.717999999993</v>
      </c>
      <c r="S63" s="286">
        <f t="shared" si="3"/>
        <v>582021.43099999998</v>
      </c>
    </row>
    <row r="64" spans="1:20" x14ac:dyDescent="0.3">
      <c r="A64" s="185" t="s">
        <v>462</v>
      </c>
      <c r="B64" s="96" t="s">
        <v>364</v>
      </c>
      <c r="C64" s="97" t="s">
        <v>865</v>
      </c>
      <c r="D64" s="96" t="s">
        <v>1078</v>
      </c>
      <c r="E64" s="98" t="s">
        <v>1130</v>
      </c>
      <c r="F64" s="96" t="s">
        <v>35</v>
      </c>
      <c r="G64" s="188">
        <v>67353.692999999999</v>
      </c>
      <c r="H64" s="188">
        <v>53637.754000000001</v>
      </c>
      <c r="I64" s="188">
        <v>49793.930999999997</v>
      </c>
      <c r="J64" s="188">
        <v>48805.614000000001</v>
      </c>
      <c r="K64" s="188">
        <v>16855.559000000001</v>
      </c>
      <c r="L64" s="188">
        <v>18068.292000000001</v>
      </c>
      <c r="M64" s="188">
        <v>11910.656999999999</v>
      </c>
      <c r="N64" s="188">
        <v>5772.9210000000003</v>
      </c>
      <c r="O64" s="188">
        <v>24590.741999999998</v>
      </c>
      <c r="P64" s="188">
        <v>32640.992999999999</v>
      </c>
      <c r="Q64" s="188">
        <v>48727</v>
      </c>
      <c r="R64" s="188">
        <v>45374.142</v>
      </c>
      <c r="S64" s="286">
        <f t="shared" si="3"/>
        <v>423531.29799999995</v>
      </c>
    </row>
    <row r="65" spans="1:20" ht="27.6" x14ac:dyDescent="0.3">
      <c r="A65" s="269" t="s">
        <v>1096</v>
      </c>
      <c r="B65" s="258" t="s">
        <v>505</v>
      </c>
      <c r="C65" s="259" t="s">
        <v>872</v>
      </c>
      <c r="D65" s="258" t="s">
        <v>1205</v>
      </c>
      <c r="E65" s="260" t="s">
        <v>1130</v>
      </c>
      <c r="F65" s="258" t="s">
        <v>35</v>
      </c>
      <c r="G65" s="283">
        <v>1404</v>
      </c>
      <c r="H65" s="283">
        <v>632</v>
      </c>
      <c r="I65" s="283">
        <v>700</v>
      </c>
      <c r="J65" s="283">
        <v>930</v>
      </c>
      <c r="K65" s="283">
        <v>819</v>
      </c>
      <c r="L65" s="283">
        <v>117</v>
      </c>
      <c r="M65" s="283">
        <v>748</v>
      </c>
      <c r="N65" s="283">
        <v>914</v>
      </c>
      <c r="O65" s="283">
        <v>787</v>
      </c>
      <c r="P65" s="283">
        <v>825</v>
      </c>
      <c r="Q65" s="283">
        <v>610</v>
      </c>
      <c r="R65" s="189">
        <v>451</v>
      </c>
      <c r="S65" s="286">
        <f t="shared" si="3"/>
        <v>8937</v>
      </c>
    </row>
    <row r="66" spans="1:20" x14ac:dyDescent="0.3">
      <c r="A66" s="185" t="s">
        <v>459</v>
      </c>
      <c r="B66" s="96" t="s">
        <v>364</v>
      </c>
      <c r="C66" s="97" t="s">
        <v>865</v>
      </c>
      <c r="D66" s="96" t="s">
        <v>1078</v>
      </c>
      <c r="E66" s="98" t="s">
        <v>1130</v>
      </c>
      <c r="F66" s="96" t="s">
        <v>35</v>
      </c>
      <c r="G66" s="188">
        <v>110682.66</v>
      </c>
      <c r="H66" s="188">
        <v>94066.994999999995</v>
      </c>
      <c r="I66" s="188">
        <v>90971.595000000001</v>
      </c>
      <c r="J66" s="188">
        <v>76511.654999999999</v>
      </c>
      <c r="K66" s="188">
        <v>58668.885000000002</v>
      </c>
      <c r="L66" s="188">
        <v>34657.425000000003</v>
      </c>
      <c r="M66" s="188">
        <v>13840.86</v>
      </c>
      <c r="N66" s="188">
        <v>10601.745000000001</v>
      </c>
      <c r="O66" s="188">
        <v>38814.105000000003</v>
      </c>
      <c r="P66" s="188">
        <v>52533.36</v>
      </c>
      <c r="Q66" s="188">
        <v>86715.42</v>
      </c>
      <c r="R66" s="188">
        <v>80469.345000000001</v>
      </c>
      <c r="S66" s="286">
        <f t="shared" si="3"/>
        <v>748534.05</v>
      </c>
    </row>
    <row r="67" spans="1:20" x14ac:dyDescent="0.3">
      <c r="A67" s="269" t="s">
        <v>516</v>
      </c>
      <c r="B67" s="258" t="s">
        <v>505</v>
      </c>
      <c r="C67" s="259" t="s">
        <v>1139</v>
      </c>
      <c r="D67" s="258" t="s">
        <v>1078</v>
      </c>
      <c r="E67" s="260" t="s">
        <v>1130</v>
      </c>
      <c r="F67" s="258" t="s">
        <v>35</v>
      </c>
      <c r="G67" s="189">
        <v>33223.199441868463</v>
      </c>
      <c r="H67" s="189">
        <v>33223.199441868463</v>
      </c>
      <c r="I67" s="189">
        <v>33223.199441868463</v>
      </c>
      <c r="J67" s="189">
        <v>33223.199441868463</v>
      </c>
      <c r="K67" s="189">
        <v>33223.199441868463</v>
      </c>
      <c r="L67" s="189">
        <v>33223.199441868463</v>
      </c>
      <c r="M67" s="189">
        <v>33223.199441868463</v>
      </c>
      <c r="N67" s="189">
        <v>33223.199441868463</v>
      </c>
      <c r="O67" s="189">
        <v>33223.199441868463</v>
      </c>
      <c r="P67" s="189">
        <v>33223.199441868463</v>
      </c>
      <c r="Q67" s="189">
        <v>33223.199441868463</v>
      </c>
      <c r="R67" s="189">
        <v>33223.199441868463</v>
      </c>
      <c r="S67" s="286">
        <v>0</v>
      </c>
    </row>
    <row r="68" spans="1:20" ht="27.6" x14ac:dyDescent="0.3">
      <c r="A68" s="185" t="s">
        <v>1097</v>
      </c>
      <c r="B68" s="96" t="s">
        <v>505</v>
      </c>
      <c r="C68" s="97" t="s">
        <v>865</v>
      </c>
      <c r="D68" s="96" t="s">
        <v>1205</v>
      </c>
      <c r="E68" s="98" t="s">
        <v>1130</v>
      </c>
      <c r="F68" s="96" t="s">
        <v>35</v>
      </c>
      <c r="G68" s="188">
        <v>144352</v>
      </c>
      <c r="H68" s="188">
        <v>103966</v>
      </c>
      <c r="I68" s="188">
        <v>95170</v>
      </c>
      <c r="J68" s="188">
        <v>85330</v>
      </c>
      <c r="K68" s="188">
        <v>70047</v>
      </c>
      <c r="L68" s="188">
        <v>58629</v>
      </c>
      <c r="M68" s="188">
        <v>68495</v>
      </c>
      <c r="N68" s="188">
        <v>60746</v>
      </c>
      <c r="O68" s="188">
        <v>72325</v>
      </c>
      <c r="P68" s="188">
        <v>82898</v>
      </c>
      <c r="Q68" s="188">
        <v>141314</v>
      </c>
      <c r="R68" s="188">
        <v>124051</v>
      </c>
      <c r="S68" s="286">
        <f t="shared" si="3"/>
        <v>1107323</v>
      </c>
    </row>
    <row r="69" spans="1:20" ht="27.6" x14ac:dyDescent="0.3">
      <c r="A69" s="269" t="s">
        <v>839</v>
      </c>
      <c r="B69" s="258" t="s">
        <v>505</v>
      </c>
      <c r="C69" s="259" t="s">
        <v>865</v>
      </c>
      <c r="D69" s="258" t="s">
        <v>1205</v>
      </c>
      <c r="E69" s="260" t="s">
        <v>1130</v>
      </c>
      <c r="F69" s="258" t="s">
        <v>35</v>
      </c>
      <c r="G69" s="283">
        <v>10681.33</v>
      </c>
      <c r="H69" s="283">
        <v>10681.33</v>
      </c>
      <c r="I69" s="283">
        <v>10681.33</v>
      </c>
      <c r="J69" s="283">
        <v>10632.33</v>
      </c>
      <c r="K69" s="283">
        <v>10632.33</v>
      </c>
      <c r="L69" s="283">
        <v>10632.33</v>
      </c>
      <c r="M69" s="283">
        <v>1368</v>
      </c>
      <c r="N69" s="283">
        <v>1368</v>
      </c>
      <c r="O69" s="283">
        <v>1368</v>
      </c>
      <c r="P69" s="283">
        <v>7401.33</v>
      </c>
      <c r="Q69" s="283">
        <v>7401.33</v>
      </c>
      <c r="R69" s="283">
        <v>7401.33</v>
      </c>
      <c r="S69" s="286">
        <f t="shared" si="3"/>
        <v>90248.970000000016</v>
      </c>
    </row>
    <row r="70" spans="1:20" ht="27.6" x14ac:dyDescent="0.3">
      <c r="A70" s="185" t="s">
        <v>514</v>
      </c>
      <c r="B70" s="96" t="s">
        <v>505</v>
      </c>
      <c r="C70" s="97" t="s">
        <v>865</v>
      </c>
      <c r="D70" s="96" t="s">
        <v>1205</v>
      </c>
      <c r="E70" s="98" t="s">
        <v>1130</v>
      </c>
      <c r="F70" s="96" t="s">
        <v>35</v>
      </c>
      <c r="G70" s="189">
        <v>5756.8673055401814</v>
      </c>
      <c r="H70" s="189">
        <v>5756.8673055401814</v>
      </c>
      <c r="I70" s="189">
        <v>5756.8673055401814</v>
      </c>
      <c r="J70" s="189">
        <v>5756.8673055401814</v>
      </c>
      <c r="K70" s="189">
        <v>5756.8673055401814</v>
      </c>
      <c r="L70" s="189">
        <v>5756.8673055401814</v>
      </c>
      <c r="M70" s="189">
        <v>5756.8673055401814</v>
      </c>
      <c r="N70" s="189">
        <v>5756.8673055401814</v>
      </c>
      <c r="O70" s="189">
        <v>5756.8673055401814</v>
      </c>
      <c r="P70" s="189">
        <v>5756.8673055401814</v>
      </c>
      <c r="Q70" s="189">
        <v>5756.8673055401814</v>
      </c>
      <c r="R70" s="189">
        <v>5756.8673055401814</v>
      </c>
      <c r="S70" s="286">
        <v>0</v>
      </c>
    </row>
    <row r="71" spans="1:20" ht="27.6" x14ac:dyDescent="0.3">
      <c r="A71" s="269" t="s">
        <v>837</v>
      </c>
      <c r="B71" s="258" t="s">
        <v>364</v>
      </c>
      <c r="C71" s="259" t="s">
        <v>871</v>
      </c>
      <c r="D71" s="258" t="s">
        <v>1205</v>
      </c>
      <c r="E71" s="260" t="s">
        <v>1130</v>
      </c>
      <c r="F71" s="258" t="s">
        <v>35</v>
      </c>
      <c r="G71" s="189">
        <v>108995.49701357655</v>
      </c>
      <c r="H71" s="189">
        <v>108995.49701357655</v>
      </c>
      <c r="I71" s="189">
        <v>108995.49701357655</v>
      </c>
      <c r="J71" s="189">
        <v>108995.49701357655</v>
      </c>
      <c r="K71" s="189">
        <v>108995.49701357655</v>
      </c>
      <c r="L71" s="189">
        <v>108995.49701357655</v>
      </c>
      <c r="M71" s="189">
        <v>108995.49701357655</v>
      </c>
      <c r="N71" s="189">
        <v>108995.49701357655</v>
      </c>
      <c r="O71" s="189">
        <v>108995.49701357655</v>
      </c>
      <c r="P71" s="189">
        <v>108995.49701357655</v>
      </c>
      <c r="Q71" s="189">
        <v>108995.49701357655</v>
      </c>
      <c r="R71" s="189">
        <v>108995.49701357655</v>
      </c>
      <c r="S71" s="286">
        <v>0</v>
      </c>
    </row>
    <row r="73" spans="1:20" x14ac:dyDescent="0.3">
      <c r="D73" s="68" t="s">
        <v>496</v>
      </c>
    </row>
    <row r="74" spans="1:20" ht="27.6" x14ac:dyDescent="0.3">
      <c r="A74" s="102" t="s">
        <v>1065</v>
      </c>
      <c r="B74" s="102" t="s">
        <v>864</v>
      </c>
      <c r="C74" s="102" t="s">
        <v>1112</v>
      </c>
      <c r="D74" s="102" t="s">
        <v>1070</v>
      </c>
      <c r="E74" s="102" t="s">
        <v>1113</v>
      </c>
      <c r="F74" s="102" t="s">
        <v>1114</v>
      </c>
      <c r="G74" s="255" t="s">
        <v>1115</v>
      </c>
      <c r="H74" s="255" t="s">
        <v>1116</v>
      </c>
      <c r="I74" s="255" t="s">
        <v>1117</v>
      </c>
      <c r="J74" s="255" t="s">
        <v>1118</v>
      </c>
      <c r="K74" s="255" t="s">
        <v>1119</v>
      </c>
      <c r="L74" s="255" t="s">
        <v>1120</v>
      </c>
      <c r="M74" s="255" t="s">
        <v>1121</v>
      </c>
      <c r="N74" s="255" t="s">
        <v>1122</v>
      </c>
      <c r="O74" s="255" t="s">
        <v>1123</v>
      </c>
      <c r="P74" s="255" t="s">
        <v>1124</v>
      </c>
      <c r="Q74" s="255" t="s">
        <v>1125</v>
      </c>
      <c r="R74" s="255" t="s">
        <v>1126</v>
      </c>
      <c r="S74" t="s">
        <v>1238</v>
      </c>
      <c r="T74" s="290" t="s">
        <v>1584</v>
      </c>
    </row>
    <row r="75" spans="1:20" x14ac:dyDescent="0.3">
      <c r="A75" s="179" t="s">
        <v>497</v>
      </c>
      <c r="B75" s="96" t="s">
        <v>364</v>
      </c>
      <c r="C75" s="97" t="s">
        <v>865</v>
      </c>
      <c r="D75" s="184" t="s">
        <v>1129</v>
      </c>
      <c r="E75" s="98" t="s">
        <v>1130</v>
      </c>
      <c r="F75" s="96" t="s">
        <v>1131</v>
      </c>
      <c r="G75" s="175">
        <v>211.6</v>
      </c>
      <c r="H75" s="175">
        <v>178.2</v>
      </c>
      <c r="I75" s="175">
        <v>160</v>
      </c>
      <c r="J75" s="175">
        <v>214.7</v>
      </c>
      <c r="K75" s="175">
        <v>237.5</v>
      </c>
      <c r="L75" s="175">
        <v>259.89999999999998</v>
      </c>
      <c r="M75" s="175">
        <v>310.89999999999998</v>
      </c>
      <c r="N75" s="175">
        <v>178.09899999999999</v>
      </c>
      <c r="O75" s="175">
        <v>266.90199999999999</v>
      </c>
      <c r="P75" s="175">
        <v>294.60000000000002</v>
      </c>
      <c r="Q75" s="175">
        <v>348.3</v>
      </c>
      <c r="R75" s="175">
        <v>363.5</v>
      </c>
      <c r="S75">
        <f>SUM(TblWater8[[#This Row],[Jan-24]:[Dec-24]])</f>
        <v>3024.2010000000005</v>
      </c>
      <c r="T75" s="291">
        <f>SUM(TblWater8[[GRESB TOTAL ]])</f>
        <v>14626.533022280781</v>
      </c>
    </row>
    <row r="76" spans="1:20" x14ac:dyDescent="0.3">
      <c r="A76" s="179" t="s">
        <v>499</v>
      </c>
      <c r="B76" s="96" t="s">
        <v>364</v>
      </c>
      <c r="C76" s="97" t="s">
        <v>865</v>
      </c>
      <c r="D76" s="180" t="s">
        <v>1129</v>
      </c>
      <c r="E76" s="98" t="s">
        <v>1130</v>
      </c>
      <c r="F76" s="96" t="s">
        <v>1131</v>
      </c>
      <c r="G76" s="176">
        <v>156</v>
      </c>
      <c r="H76" s="176">
        <v>156</v>
      </c>
      <c r="I76" s="176">
        <v>156</v>
      </c>
      <c r="J76" s="176">
        <v>156</v>
      </c>
      <c r="K76" s="176">
        <v>156</v>
      </c>
      <c r="L76" s="176">
        <v>156</v>
      </c>
      <c r="M76" s="176">
        <v>156</v>
      </c>
      <c r="N76" s="176">
        <v>156</v>
      </c>
      <c r="O76" s="176">
        <v>156</v>
      </c>
      <c r="P76" s="176">
        <v>156</v>
      </c>
      <c r="Q76" s="176">
        <v>156</v>
      </c>
      <c r="R76" s="176">
        <v>156</v>
      </c>
      <c r="S76">
        <v>0</v>
      </c>
      <c r="T76" s="288"/>
    </row>
    <row r="77" spans="1:20" x14ac:dyDescent="0.3">
      <c r="A77" s="179" t="s">
        <v>840</v>
      </c>
      <c r="B77" s="96" t="s">
        <v>505</v>
      </c>
      <c r="C77" s="97" t="s">
        <v>865</v>
      </c>
      <c r="D77" s="184" t="s">
        <v>1136</v>
      </c>
      <c r="E77" s="98" t="s">
        <v>1130</v>
      </c>
      <c r="F77" s="96" t="s">
        <v>1131</v>
      </c>
      <c r="G77" s="176">
        <v>9.1630000000000003</v>
      </c>
      <c r="H77" s="176">
        <v>9.1630000000000003</v>
      </c>
      <c r="I77" s="176">
        <v>9.1630000000000003</v>
      </c>
      <c r="J77" s="176">
        <v>9.1630000000000003</v>
      </c>
      <c r="K77" s="176">
        <v>9.1630000000000003</v>
      </c>
      <c r="L77" s="176">
        <v>9.1630000000000003</v>
      </c>
      <c r="M77" s="176">
        <v>9.1630000000000003</v>
      </c>
      <c r="N77" s="176">
        <v>9.1630000000000003</v>
      </c>
      <c r="O77" s="176">
        <v>9.1630000000000003</v>
      </c>
      <c r="P77" s="176">
        <v>9.1630000000000003</v>
      </c>
      <c r="Q77" s="176">
        <v>9.1630000000000003</v>
      </c>
      <c r="R77" s="176">
        <v>9.1630000000000003</v>
      </c>
      <c r="S77">
        <v>0</v>
      </c>
      <c r="T77" s="288"/>
    </row>
    <row r="78" spans="1:20" ht="27.6" x14ac:dyDescent="0.3">
      <c r="A78" s="179" t="s">
        <v>1137</v>
      </c>
      <c r="B78" s="96" t="s">
        <v>505</v>
      </c>
      <c r="C78" s="97" t="s">
        <v>871</v>
      </c>
      <c r="D78" s="180" t="s">
        <v>1136</v>
      </c>
      <c r="E78" s="98" t="s">
        <v>1130</v>
      </c>
      <c r="F78" s="96" t="s">
        <v>1131</v>
      </c>
      <c r="G78" s="177"/>
      <c r="H78" s="177"/>
      <c r="I78" s="177"/>
      <c r="J78" s="177"/>
      <c r="K78" s="177"/>
      <c r="L78" s="177"/>
      <c r="M78" s="177"/>
      <c r="N78" s="177"/>
      <c r="O78" s="177"/>
      <c r="P78" s="177"/>
      <c r="Q78" s="177"/>
      <c r="R78" s="177"/>
      <c r="S78">
        <f>SUM(TblWater8[[#This Row],[Jan-24]:[Dec-24]])</f>
        <v>0</v>
      </c>
      <c r="T78" s="288"/>
    </row>
    <row r="79" spans="1:20" x14ac:dyDescent="0.3">
      <c r="A79" s="179" t="s">
        <v>463</v>
      </c>
      <c r="B79" s="96" t="s">
        <v>364</v>
      </c>
      <c r="C79" s="97" t="s">
        <v>865</v>
      </c>
      <c r="D79" s="184" t="s">
        <v>1129</v>
      </c>
      <c r="E79" s="98" t="s">
        <v>1130</v>
      </c>
      <c r="F79" s="96" t="s">
        <v>1131</v>
      </c>
      <c r="G79" s="175">
        <v>11.345000000000001</v>
      </c>
      <c r="H79" s="175">
        <v>10.247</v>
      </c>
      <c r="I79" s="175">
        <v>11.555</v>
      </c>
      <c r="J79" s="175">
        <v>11.374000000000001</v>
      </c>
      <c r="K79" s="175">
        <v>11.374000000000001</v>
      </c>
      <c r="L79" s="175">
        <v>10.875999999999999</v>
      </c>
      <c r="M79" s="175">
        <v>11.509</v>
      </c>
      <c r="N79" s="175">
        <v>11.509</v>
      </c>
      <c r="O79" s="176">
        <v>10.215999999999999</v>
      </c>
      <c r="P79" s="176">
        <v>10.215999999999999</v>
      </c>
      <c r="Q79" s="176">
        <v>10.215999999999999</v>
      </c>
      <c r="R79" s="176">
        <v>10.215999999999999</v>
      </c>
      <c r="S79">
        <f>SUM(TblWater8[[#This Row],[Jan-24]:[Nov-24]])</f>
        <v>120.43699999999998</v>
      </c>
      <c r="T79" s="288" t="s">
        <v>1585</v>
      </c>
    </row>
    <row r="80" spans="1:20" ht="27.6" x14ac:dyDescent="0.3">
      <c r="A80" s="179" t="s">
        <v>517</v>
      </c>
      <c r="B80" s="96" t="s">
        <v>505</v>
      </c>
      <c r="C80" s="97" t="s">
        <v>871</v>
      </c>
      <c r="D80" s="180" t="s">
        <v>1136</v>
      </c>
      <c r="E80" s="98" t="s">
        <v>1130</v>
      </c>
      <c r="F80" s="96" t="s">
        <v>1131</v>
      </c>
      <c r="G80" s="176">
        <v>181.06800000000001</v>
      </c>
      <c r="H80" s="176">
        <v>181.06800000000001</v>
      </c>
      <c r="I80" s="176">
        <v>181.06800000000001</v>
      </c>
      <c r="J80" s="176">
        <v>181.06800000000001</v>
      </c>
      <c r="K80" s="176">
        <v>181.06800000000001</v>
      </c>
      <c r="L80" s="176">
        <v>181.06800000000001</v>
      </c>
      <c r="M80" s="176">
        <v>181.06800000000001</v>
      </c>
      <c r="N80" s="176">
        <v>181.06800000000001</v>
      </c>
      <c r="O80" s="176">
        <v>181.06800000000001</v>
      </c>
      <c r="P80" s="176">
        <v>181.06800000000001</v>
      </c>
      <c r="Q80" s="176">
        <v>181.06800000000001</v>
      </c>
      <c r="R80" s="176">
        <v>181.06800000000001</v>
      </c>
      <c r="S80">
        <v>0</v>
      </c>
      <c r="T80" s="288"/>
    </row>
    <row r="81" spans="1:20" x14ac:dyDescent="0.3">
      <c r="A81" s="179" t="s">
        <v>460</v>
      </c>
      <c r="B81" s="96" t="s">
        <v>364</v>
      </c>
      <c r="C81" s="97" t="s">
        <v>865</v>
      </c>
      <c r="D81" s="184" t="s">
        <v>1129</v>
      </c>
      <c r="E81" s="98" t="s">
        <v>1130</v>
      </c>
      <c r="F81" s="96" t="s">
        <v>1131</v>
      </c>
      <c r="G81" s="175">
        <v>109.45</v>
      </c>
      <c r="H81" s="175">
        <v>106.12</v>
      </c>
      <c r="I81" s="175">
        <v>104.25</v>
      </c>
      <c r="J81" s="175">
        <v>122.56</v>
      </c>
      <c r="K81" s="175">
        <v>104.64</v>
      </c>
      <c r="L81" s="175">
        <v>95.82</v>
      </c>
      <c r="M81" s="175">
        <v>107.52</v>
      </c>
      <c r="N81" s="175">
        <v>87.84</v>
      </c>
      <c r="O81" s="175">
        <v>99.03</v>
      </c>
      <c r="P81" s="175">
        <v>107.35</v>
      </c>
      <c r="Q81" s="175">
        <v>107.17</v>
      </c>
      <c r="R81" s="175">
        <v>94.900000359863</v>
      </c>
      <c r="S81">
        <f>SUM(TblWater8[[#This Row],[Jan-24]:[Dec-24]])</f>
        <v>1246.650000359863</v>
      </c>
      <c r="T81" s="288"/>
    </row>
    <row r="82" spans="1:20" x14ac:dyDescent="0.3">
      <c r="A82" s="179" t="s">
        <v>1094</v>
      </c>
      <c r="B82" s="96" t="s">
        <v>364</v>
      </c>
      <c r="C82" s="97" t="s">
        <v>865</v>
      </c>
      <c r="D82" s="180" t="s">
        <v>1129</v>
      </c>
      <c r="E82" s="98" t="s">
        <v>1130</v>
      </c>
      <c r="F82" s="96" t="s">
        <v>1131</v>
      </c>
      <c r="G82" s="175">
        <v>48.637</v>
      </c>
      <c r="H82" s="175">
        <v>47.445</v>
      </c>
      <c r="I82" s="175">
        <v>57.392000000000003</v>
      </c>
      <c r="J82" s="175">
        <v>46.643999999999998</v>
      </c>
      <c r="K82" s="175">
        <v>56.164999999999999</v>
      </c>
      <c r="L82" s="175">
        <v>48.918999999999997</v>
      </c>
      <c r="M82" s="175">
        <v>88.844999999999999</v>
      </c>
      <c r="N82" s="175">
        <v>36.758000000000003</v>
      </c>
      <c r="O82" s="175">
        <v>40.182000000000002</v>
      </c>
      <c r="P82" s="175">
        <v>67.010000000000005</v>
      </c>
      <c r="Q82" s="175">
        <v>71.444999999999993</v>
      </c>
      <c r="R82" s="188">
        <v>57.446560062383902</v>
      </c>
      <c r="S82">
        <f>SUM(TblWater8[[#This Row],[Jan-24]:[Dec-24]])</f>
        <v>666.88856006238393</v>
      </c>
      <c r="T82" s="288"/>
    </row>
    <row r="83" spans="1:20" x14ac:dyDescent="0.3">
      <c r="A83" s="179" t="s">
        <v>1095</v>
      </c>
      <c r="B83" s="96" t="s">
        <v>364</v>
      </c>
      <c r="C83" s="97" t="s">
        <v>865</v>
      </c>
      <c r="D83" s="184" t="s">
        <v>1129</v>
      </c>
      <c r="E83" s="98" t="s">
        <v>1130</v>
      </c>
      <c r="F83" s="96" t="s">
        <v>1131</v>
      </c>
      <c r="G83" s="175">
        <v>24.975999999999999</v>
      </c>
      <c r="H83" s="175">
        <v>24.364999999999998</v>
      </c>
      <c r="I83" s="175">
        <v>29.472999999999999</v>
      </c>
      <c r="J83" s="175">
        <v>23.952999999999999</v>
      </c>
      <c r="K83" s="175">
        <v>28.841999999999999</v>
      </c>
      <c r="L83" s="175">
        <v>25.122</v>
      </c>
      <c r="M83" s="175">
        <v>45.624000000000002</v>
      </c>
      <c r="N83" s="175">
        <v>18.876999999999999</v>
      </c>
      <c r="O83" s="175">
        <v>20.634</v>
      </c>
      <c r="P83" s="175">
        <v>34.409998212877198</v>
      </c>
      <c r="Q83" s="175">
        <v>36.689024063119597</v>
      </c>
      <c r="R83" s="175">
        <v>29.500439847554397</v>
      </c>
      <c r="S83">
        <f>SUM(TblWater8[[#This Row],[Jan-24]:[Dec-24]])</f>
        <v>342.46546212355116</v>
      </c>
      <c r="T83" s="288"/>
    </row>
    <row r="84" spans="1:20" ht="27.6" x14ac:dyDescent="0.3">
      <c r="A84" s="179" t="s">
        <v>456</v>
      </c>
      <c r="B84" s="96" t="s">
        <v>364</v>
      </c>
      <c r="C84" s="97" t="s">
        <v>871</v>
      </c>
      <c r="D84" s="184" t="s">
        <v>1136</v>
      </c>
      <c r="E84" s="98" t="s">
        <v>1130</v>
      </c>
      <c r="F84" s="96" t="s">
        <v>1131</v>
      </c>
      <c r="G84" s="176">
        <v>999.58299999999997</v>
      </c>
      <c r="H84" s="176">
        <v>999.58299999999997</v>
      </c>
      <c r="I84" s="176">
        <v>999.58299999999997</v>
      </c>
      <c r="J84" s="176">
        <v>999.58299999999997</v>
      </c>
      <c r="K84" s="176">
        <v>999.58299999999997</v>
      </c>
      <c r="L84" s="176">
        <v>999.58299999999997</v>
      </c>
      <c r="M84" s="176">
        <v>999.58299999999997</v>
      </c>
      <c r="N84" s="176">
        <v>999.58299999999997</v>
      </c>
      <c r="O84" s="176">
        <v>999.58299999999997</v>
      </c>
      <c r="P84" s="176">
        <v>999.58299999999997</v>
      </c>
      <c r="Q84" s="176">
        <v>999.58299999999997</v>
      </c>
      <c r="R84" s="176">
        <v>999.58299999999997</v>
      </c>
      <c r="S84">
        <v>0</v>
      </c>
      <c r="T84" s="288"/>
    </row>
    <row r="85" spans="1:20" x14ac:dyDescent="0.3">
      <c r="A85" s="179" t="s">
        <v>835</v>
      </c>
      <c r="B85" s="96" t="s">
        <v>505</v>
      </c>
      <c r="C85" s="97" t="s">
        <v>865</v>
      </c>
      <c r="D85" s="180" t="s">
        <v>1136</v>
      </c>
      <c r="E85" s="98" t="s">
        <v>1130</v>
      </c>
      <c r="F85" s="96" t="s">
        <v>1131</v>
      </c>
      <c r="G85" s="176">
        <v>41.65</v>
      </c>
      <c r="H85" s="176">
        <v>41.65</v>
      </c>
      <c r="I85" s="176">
        <v>41.65</v>
      </c>
      <c r="J85" s="176">
        <v>41.65</v>
      </c>
      <c r="K85" s="176">
        <v>41.65</v>
      </c>
      <c r="L85" s="176">
        <v>41.65</v>
      </c>
      <c r="M85" s="176">
        <v>41.65</v>
      </c>
      <c r="N85" s="176">
        <v>41.65</v>
      </c>
      <c r="O85" s="176">
        <v>41.65</v>
      </c>
      <c r="P85" s="176">
        <v>41.65</v>
      </c>
      <c r="Q85" s="176">
        <v>41.65</v>
      </c>
      <c r="R85" s="176">
        <v>41.65</v>
      </c>
      <c r="S85">
        <v>0</v>
      </c>
      <c r="T85" s="288"/>
    </row>
    <row r="86" spans="1:20" x14ac:dyDescent="0.3">
      <c r="A86" s="179" t="s">
        <v>462</v>
      </c>
      <c r="B86" s="96" t="s">
        <v>364</v>
      </c>
      <c r="C86" s="97" t="s">
        <v>865</v>
      </c>
      <c r="D86" s="184" t="s">
        <v>1129</v>
      </c>
      <c r="E86" s="98" t="s">
        <v>1130</v>
      </c>
      <c r="F86" s="96" t="s">
        <v>1131</v>
      </c>
      <c r="G86" s="175">
        <v>47.99</v>
      </c>
      <c r="H86" s="175">
        <v>136.94</v>
      </c>
      <c r="I86" s="175">
        <v>103.16</v>
      </c>
      <c r="J86" s="175">
        <v>92.01</v>
      </c>
      <c r="K86" s="175">
        <v>93.93</v>
      </c>
      <c r="L86" s="175">
        <v>152.43</v>
      </c>
      <c r="M86" s="175">
        <v>87.05</v>
      </c>
      <c r="N86" s="175">
        <v>195.58</v>
      </c>
      <c r="O86" s="175">
        <v>122.05</v>
      </c>
      <c r="P86" s="175">
        <v>382.49</v>
      </c>
      <c r="Q86" s="175">
        <v>156.97</v>
      </c>
      <c r="R86" s="175">
        <v>121.189999734982</v>
      </c>
      <c r="S86">
        <f>SUM(TblWater8[[#This Row],[Jan-24]:[Dec-24]])</f>
        <v>1691.7899997349821</v>
      </c>
      <c r="T86" s="288"/>
    </row>
    <row r="87" spans="1:20" x14ac:dyDescent="0.3">
      <c r="A87" s="181" t="s">
        <v>461</v>
      </c>
      <c r="B87" s="258" t="s">
        <v>364</v>
      </c>
      <c r="C87" s="259" t="s">
        <v>865</v>
      </c>
      <c r="D87" s="180" t="s">
        <v>1129</v>
      </c>
      <c r="E87" s="260" t="s">
        <v>1130</v>
      </c>
      <c r="F87" s="258" t="s">
        <v>1131</v>
      </c>
      <c r="G87" s="182">
        <v>101</v>
      </c>
      <c r="H87" s="182">
        <v>113</v>
      </c>
      <c r="I87" s="182">
        <v>121</v>
      </c>
      <c r="J87" s="182">
        <v>112</v>
      </c>
      <c r="K87" s="182">
        <v>110</v>
      </c>
      <c r="L87" s="182">
        <v>97</v>
      </c>
      <c r="M87" s="182">
        <v>128</v>
      </c>
      <c r="N87" s="182">
        <v>130</v>
      </c>
      <c r="O87" s="182">
        <v>130</v>
      </c>
      <c r="P87" s="182">
        <v>129</v>
      </c>
      <c r="Q87" s="182">
        <v>122</v>
      </c>
      <c r="R87" s="182">
        <v>78</v>
      </c>
      <c r="S87">
        <f>SUM(TblWater8[[#This Row],[Jan-24]:[Dec-24]])</f>
        <v>1371</v>
      </c>
      <c r="T87" s="288"/>
    </row>
    <row r="88" spans="1:20" x14ac:dyDescent="0.3">
      <c r="A88" s="179" t="s">
        <v>459</v>
      </c>
      <c r="B88" s="96" t="s">
        <v>364</v>
      </c>
      <c r="C88" s="97" t="s">
        <v>865</v>
      </c>
      <c r="D88" s="184" t="s">
        <v>1129</v>
      </c>
      <c r="E88" s="98" t="s">
        <v>1130</v>
      </c>
      <c r="F88" s="96" t="s">
        <v>1131</v>
      </c>
      <c r="G88" s="175">
        <v>259</v>
      </c>
      <c r="H88" s="175">
        <v>164</v>
      </c>
      <c r="I88" s="175">
        <v>197</v>
      </c>
      <c r="J88" s="175">
        <v>225</v>
      </c>
      <c r="K88" s="175">
        <v>210</v>
      </c>
      <c r="L88" s="175">
        <v>172</v>
      </c>
      <c r="M88" s="175">
        <v>223</v>
      </c>
      <c r="N88" s="175">
        <v>197</v>
      </c>
      <c r="O88" s="175">
        <v>214</v>
      </c>
      <c r="P88" s="175">
        <v>259</v>
      </c>
      <c r="Q88" s="175">
        <v>485</v>
      </c>
      <c r="R88" s="175">
        <v>259</v>
      </c>
      <c r="S88">
        <f>SUM(TblWater8[[#This Row],[Jan-24]:[Dec-24]])</f>
        <v>2864</v>
      </c>
      <c r="T88" s="288"/>
    </row>
    <row r="89" spans="1:20" x14ac:dyDescent="0.3">
      <c r="A89" s="179" t="s">
        <v>516</v>
      </c>
      <c r="B89" s="96" t="s">
        <v>505</v>
      </c>
      <c r="C89" s="97" t="s">
        <v>1139</v>
      </c>
      <c r="D89" s="180" t="s">
        <v>1136</v>
      </c>
      <c r="E89" s="98" t="s">
        <v>1130</v>
      </c>
      <c r="F89" s="96" t="s">
        <v>1131</v>
      </c>
      <c r="G89" s="176">
        <v>65.94</v>
      </c>
      <c r="H89" s="176">
        <v>65.94</v>
      </c>
      <c r="I89" s="176">
        <v>65.94</v>
      </c>
      <c r="J89" s="176">
        <v>65.94</v>
      </c>
      <c r="K89" s="176">
        <v>65.94</v>
      </c>
      <c r="L89" s="176">
        <v>65.94</v>
      </c>
      <c r="M89" s="176">
        <v>65.94</v>
      </c>
      <c r="N89" s="176">
        <v>65.94</v>
      </c>
      <c r="O89" s="176">
        <v>65.94</v>
      </c>
      <c r="P89" s="176">
        <v>65.94</v>
      </c>
      <c r="Q89" s="176">
        <v>65.94</v>
      </c>
      <c r="R89" s="176">
        <v>65.94</v>
      </c>
      <c r="S89">
        <v>0</v>
      </c>
      <c r="T89" s="288"/>
    </row>
    <row r="90" spans="1:20" x14ac:dyDescent="0.3">
      <c r="A90" s="179" t="s">
        <v>836</v>
      </c>
      <c r="B90" s="96" t="s">
        <v>505</v>
      </c>
      <c r="C90" s="97" t="s">
        <v>865</v>
      </c>
      <c r="D90" s="184" t="s">
        <v>1136</v>
      </c>
      <c r="E90" s="98" t="s">
        <v>1130</v>
      </c>
      <c r="F90" s="96" t="s">
        <v>1131</v>
      </c>
      <c r="G90" s="175">
        <v>138.30099999999999</v>
      </c>
      <c r="H90" s="175">
        <v>150.69900000000001</v>
      </c>
      <c r="I90" s="175">
        <v>90.801000000000002</v>
      </c>
      <c r="J90" s="175">
        <v>140.80000000000001</v>
      </c>
      <c r="K90" s="175">
        <v>187.3</v>
      </c>
      <c r="L90" s="175">
        <v>197.8</v>
      </c>
      <c r="M90" s="175">
        <v>180.4</v>
      </c>
      <c r="N90" s="176">
        <v>188.5</v>
      </c>
      <c r="O90" s="176">
        <v>189.1</v>
      </c>
      <c r="P90" s="176">
        <v>180.4</v>
      </c>
      <c r="Q90" s="176">
        <v>180.4</v>
      </c>
      <c r="R90" s="176">
        <v>180.4</v>
      </c>
      <c r="S90">
        <f>SUM(TblWater8[[#This Row],[Jan-24]:[Oct-24]])</f>
        <v>1644.1010000000001</v>
      </c>
      <c r="T90" s="288" t="s">
        <v>1585</v>
      </c>
    </row>
    <row r="91" spans="1:20" x14ac:dyDescent="0.3">
      <c r="A91" s="179" t="s">
        <v>1097</v>
      </c>
      <c r="B91" s="96" t="s">
        <v>505</v>
      </c>
      <c r="C91" s="97" t="s">
        <v>865</v>
      </c>
      <c r="D91" s="180" t="s">
        <v>1136</v>
      </c>
      <c r="E91" s="98" t="s">
        <v>1130</v>
      </c>
      <c r="F91" s="96" t="s">
        <v>1131</v>
      </c>
      <c r="G91" s="175">
        <v>124</v>
      </c>
      <c r="H91" s="175">
        <v>130</v>
      </c>
      <c r="I91" s="175">
        <v>128</v>
      </c>
      <c r="J91" s="175">
        <v>130</v>
      </c>
      <c r="K91" s="175">
        <v>133</v>
      </c>
      <c r="L91" s="175">
        <v>138</v>
      </c>
      <c r="M91" s="175">
        <v>171</v>
      </c>
      <c r="N91" s="175">
        <v>121</v>
      </c>
      <c r="O91" s="175">
        <v>164</v>
      </c>
      <c r="P91" s="175">
        <v>149</v>
      </c>
      <c r="Q91" s="175">
        <v>123</v>
      </c>
      <c r="R91" s="175">
        <v>144</v>
      </c>
      <c r="S91">
        <f>SUM(TblWater8[[#This Row],[Jan-24]:[Dec-24]])</f>
        <v>1655</v>
      </c>
      <c r="T91" s="288"/>
    </row>
    <row r="92" spans="1:20" x14ac:dyDescent="0.3">
      <c r="A92" s="179" t="s">
        <v>839</v>
      </c>
      <c r="B92" s="96" t="s">
        <v>505</v>
      </c>
      <c r="C92" s="97" t="s">
        <v>865</v>
      </c>
      <c r="D92" s="184" t="s">
        <v>1136</v>
      </c>
      <c r="E92" s="98" t="s">
        <v>1130</v>
      </c>
      <c r="F92" s="96" t="s">
        <v>1131</v>
      </c>
      <c r="G92" s="176">
        <v>17.010000000000002</v>
      </c>
      <c r="H92" s="176">
        <v>17.010000000000002</v>
      </c>
      <c r="I92" s="176">
        <v>17.010000000000002</v>
      </c>
      <c r="J92" s="176">
        <v>17.010000000000002</v>
      </c>
      <c r="K92" s="176">
        <v>17.010000000000002</v>
      </c>
      <c r="L92" s="176">
        <v>17.010000000000002</v>
      </c>
      <c r="M92" s="176">
        <v>17.010000000000002</v>
      </c>
      <c r="N92" s="176">
        <v>17.010000000000002</v>
      </c>
      <c r="O92" s="176">
        <v>17.010000000000002</v>
      </c>
      <c r="P92" s="176">
        <v>17.010000000000002</v>
      </c>
      <c r="Q92" s="176">
        <v>17.010000000000002</v>
      </c>
      <c r="R92" s="176">
        <v>17.010000000000002</v>
      </c>
      <c r="S92">
        <v>0</v>
      </c>
      <c r="T92" s="288"/>
    </row>
    <row r="93" spans="1:20" x14ac:dyDescent="0.3">
      <c r="A93" s="179" t="s">
        <v>514</v>
      </c>
      <c r="B93" s="96" t="s">
        <v>505</v>
      </c>
      <c r="C93" s="97" t="s">
        <v>865</v>
      </c>
      <c r="D93" s="180" t="s">
        <v>1136</v>
      </c>
      <c r="E93" s="98" t="s">
        <v>1130</v>
      </c>
      <c r="F93" s="96" t="s">
        <v>1131</v>
      </c>
      <c r="G93" s="176">
        <v>14.05</v>
      </c>
      <c r="H93" s="176">
        <v>14.05</v>
      </c>
      <c r="I93" s="176">
        <v>14.05</v>
      </c>
      <c r="J93" s="176">
        <v>14.05</v>
      </c>
      <c r="K93" s="176">
        <v>14.05</v>
      </c>
      <c r="L93" s="176">
        <v>14.05</v>
      </c>
      <c r="M93" s="176">
        <v>14.05</v>
      </c>
      <c r="N93" s="176">
        <v>14.05</v>
      </c>
      <c r="O93" s="176">
        <v>14.05</v>
      </c>
      <c r="P93" s="176">
        <v>14.05</v>
      </c>
      <c r="Q93" s="176">
        <v>14.05</v>
      </c>
      <c r="R93" s="176">
        <v>14.05</v>
      </c>
      <c r="S93">
        <v>0</v>
      </c>
      <c r="T93" s="288"/>
    </row>
    <row r="94" spans="1:20" ht="27.6" x14ac:dyDescent="0.3">
      <c r="A94" s="179" t="s">
        <v>837</v>
      </c>
      <c r="B94" s="96" t="s">
        <v>364</v>
      </c>
      <c r="C94" s="97" t="s">
        <v>871</v>
      </c>
      <c r="D94" s="184" t="s">
        <v>1136</v>
      </c>
      <c r="E94" s="98" t="s">
        <v>1130</v>
      </c>
      <c r="F94" s="96" t="s">
        <v>1131</v>
      </c>
      <c r="G94" s="178">
        <v>2702.7910000000002</v>
      </c>
      <c r="H94" s="178">
        <v>2702.7910000000002</v>
      </c>
      <c r="I94" s="178">
        <v>2702.7910000000002</v>
      </c>
      <c r="J94" s="178">
        <v>2702.7910000000002</v>
      </c>
      <c r="K94" s="178">
        <v>2702.7910000000002</v>
      </c>
      <c r="L94" s="178">
        <v>2702.7910000000002</v>
      </c>
      <c r="M94" s="178">
        <v>2702.7910000000002</v>
      </c>
      <c r="N94" s="178">
        <v>2702.7910000000002</v>
      </c>
      <c r="O94" s="178">
        <v>2702.7910000000002</v>
      </c>
      <c r="P94" s="178">
        <v>2702.7910000000002</v>
      </c>
      <c r="Q94" s="178">
        <v>2702.7910000000002</v>
      </c>
      <c r="R94" s="178">
        <v>2702.7910000000002</v>
      </c>
      <c r="S94">
        <v>0</v>
      </c>
      <c r="T94" s="289"/>
    </row>
    <row r="96" spans="1:20" x14ac:dyDescent="0.3">
      <c r="D96" s="68" t="s">
        <v>61</v>
      </c>
    </row>
    <row r="97" spans="1:23" ht="27.6" x14ac:dyDescent="0.3">
      <c r="A97" s="102" t="s">
        <v>1065</v>
      </c>
      <c r="B97" s="102" t="s">
        <v>864</v>
      </c>
      <c r="C97" s="102" t="s">
        <v>1112</v>
      </c>
      <c r="D97" s="222" t="s">
        <v>1070</v>
      </c>
      <c r="E97" s="102" t="s">
        <v>1113</v>
      </c>
      <c r="F97" s="102" t="s">
        <v>1114</v>
      </c>
      <c r="G97" s="255" t="s">
        <v>1115</v>
      </c>
      <c r="H97" s="255" t="s">
        <v>1116</v>
      </c>
      <c r="I97" s="255" t="s">
        <v>1117</v>
      </c>
      <c r="J97" s="255" t="s">
        <v>1118</v>
      </c>
      <c r="K97" s="255" t="s">
        <v>1119</v>
      </c>
      <c r="L97" s="255" t="s">
        <v>1120</v>
      </c>
      <c r="M97" s="255" t="s">
        <v>1121</v>
      </c>
      <c r="N97" s="255" t="s">
        <v>1122</v>
      </c>
      <c r="O97" s="255" t="s">
        <v>1123</v>
      </c>
      <c r="P97" s="255" t="s">
        <v>1124</v>
      </c>
      <c r="Q97" s="255" t="s">
        <v>1125</v>
      </c>
      <c r="R97" s="255" t="s">
        <v>1126</v>
      </c>
      <c r="S97" s="68" t="s">
        <v>1580</v>
      </c>
      <c r="T97" s="68" t="s">
        <v>1586</v>
      </c>
      <c r="U97" s="68" t="s">
        <v>1587</v>
      </c>
      <c r="V97" s="68" t="s">
        <v>1588</v>
      </c>
      <c r="W97" s="68" t="s">
        <v>1589</v>
      </c>
    </row>
    <row r="98" spans="1:23" ht="27.6" x14ac:dyDescent="0.3">
      <c r="A98" s="96" t="s">
        <v>497</v>
      </c>
      <c r="B98" s="96" t="s">
        <v>364</v>
      </c>
      <c r="C98" s="97" t="s">
        <v>865</v>
      </c>
      <c r="D98" s="223" t="s">
        <v>1143</v>
      </c>
      <c r="E98" s="98" t="s">
        <v>1130</v>
      </c>
      <c r="F98" s="96" t="s">
        <v>1084</v>
      </c>
      <c r="G98" s="175">
        <v>1.7999999999999999E-2</v>
      </c>
      <c r="H98" s="175">
        <v>0.32800000000000001</v>
      </c>
      <c r="I98" s="175">
        <v>0.25600000000000001</v>
      </c>
      <c r="J98" s="175">
        <v>0.25</v>
      </c>
      <c r="K98" s="175">
        <v>0.49199999999999999</v>
      </c>
      <c r="L98" s="175">
        <v>0.219</v>
      </c>
      <c r="M98" s="175">
        <v>0.24199999999999999</v>
      </c>
      <c r="N98" s="175">
        <v>0.29599999999999999</v>
      </c>
      <c r="O98" s="175">
        <v>0.39600000000000002</v>
      </c>
      <c r="P98" s="175">
        <v>0.316</v>
      </c>
      <c r="Q98" s="175">
        <v>0.51200000000000001</v>
      </c>
      <c r="R98" s="175">
        <v>0.29399999999999998</v>
      </c>
      <c r="S98">
        <f>SUM(G98:R98)</f>
        <v>3.6189999999999998</v>
      </c>
      <c r="T98" s="68">
        <f>SUM(S98,S101,S110,S113,S116,S119,S122,S125,S128,S134,S143,)</f>
        <v>37.591000000000001</v>
      </c>
      <c r="U98" s="68">
        <f>SUM(S99,S102,S111,S114,S117,S120,S123,S126,S129,S132,S135,S144,)</f>
        <v>118.489</v>
      </c>
      <c r="V98" s="68">
        <f>SUM(S100,S103,S112,S115,S118,S121,S124,S127,S130,S133,S136,S145)</f>
        <v>144.27600000000001</v>
      </c>
      <c r="W98" s="68">
        <f>SUM(T98:V98)</f>
        <v>300.35599999999999</v>
      </c>
    </row>
    <row r="99" spans="1:23" ht="27.6" x14ac:dyDescent="0.3">
      <c r="A99" s="96" t="s">
        <v>497</v>
      </c>
      <c r="B99" s="96" t="s">
        <v>364</v>
      </c>
      <c r="C99" s="97" t="s">
        <v>865</v>
      </c>
      <c r="D99" s="223" t="s">
        <v>1144</v>
      </c>
      <c r="E99" s="98" t="s">
        <v>1130</v>
      </c>
      <c r="F99" s="96" t="s">
        <v>1084</v>
      </c>
      <c r="G99" s="175">
        <v>0.47799999999999998</v>
      </c>
      <c r="H99" s="175">
        <v>1.0669999999999999</v>
      </c>
      <c r="I99" s="175">
        <v>0.78500000000000003</v>
      </c>
      <c r="J99" s="175">
        <v>0.747</v>
      </c>
      <c r="K99" s="175">
        <v>1.1020000000000001</v>
      </c>
      <c r="L99" s="175">
        <v>1.139</v>
      </c>
      <c r="M99" s="175">
        <v>0.878</v>
      </c>
      <c r="N99" s="175">
        <v>1.4450000000000001</v>
      </c>
      <c r="O99" s="175">
        <v>1.1180000000000001</v>
      </c>
      <c r="P99" s="175">
        <v>1.7609999999999999</v>
      </c>
      <c r="Q99" s="175">
        <v>1.573</v>
      </c>
      <c r="R99" s="175">
        <v>0.95599999999999996</v>
      </c>
      <c r="S99">
        <f t="shared" ref="S99:S145" si="4">SUM(G99:R99)</f>
        <v>13.048999999999999</v>
      </c>
    </row>
    <row r="100" spans="1:23" ht="27.6" x14ac:dyDescent="0.3">
      <c r="A100" s="96" t="s">
        <v>497</v>
      </c>
      <c r="B100" s="96" t="s">
        <v>364</v>
      </c>
      <c r="C100" s="97" t="s">
        <v>865</v>
      </c>
      <c r="D100" s="223" t="s">
        <v>1146</v>
      </c>
      <c r="E100" s="98" t="s">
        <v>1130</v>
      </c>
      <c r="F100" s="96" t="s">
        <v>1084</v>
      </c>
      <c r="G100" s="175">
        <v>1.0069999999999999</v>
      </c>
      <c r="H100" s="175">
        <v>1.1120000000000001</v>
      </c>
      <c r="I100" s="175">
        <v>1.1910000000000001</v>
      </c>
      <c r="J100" s="175">
        <v>1.123</v>
      </c>
      <c r="K100" s="175">
        <v>1.573</v>
      </c>
      <c r="L100" s="175">
        <v>1.591</v>
      </c>
      <c r="M100" s="175">
        <v>1.1419999999999999</v>
      </c>
      <c r="N100" s="175">
        <v>1.153</v>
      </c>
      <c r="O100" s="175">
        <v>1.4670000000000001</v>
      </c>
      <c r="P100" s="175">
        <v>1.1879999999999999</v>
      </c>
      <c r="Q100" s="175">
        <v>1.288</v>
      </c>
      <c r="R100" s="175">
        <v>0.55900000000000005</v>
      </c>
      <c r="S100">
        <f t="shared" si="4"/>
        <v>14.394000000000002</v>
      </c>
    </row>
    <row r="101" spans="1:23" ht="27.6" x14ac:dyDescent="0.3">
      <c r="A101" s="96" t="s">
        <v>499</v>
      </c>
      <c r="B101" s="96" t="s">
        <v>364</v>
      </c>
      <c r="C101" s="97" t="s">
        <v>865</v>
      </c>
      <c r="D101" s="223" t="s">
        <v>1143</v>
      </c>
      <c r="E101" s="98" t="s">
        <v>1130</v>
      </c>
      <c r="F101" s="96" t="s">
        <v>1084</v>
      </c>
      <c r="G101" s="175">
        <v>0.40899999999999997</v>
      </c>
      <c r="H101" s="175">
        <v>0.25</v>
      </c>
      <c r="I101" s="175">
        <v>0.17399999999999999</v>
      </c>
      <c r="J101" s="175">
        <v>0.186</v>
      </c>
      <c r="K101" s="175">
        <v>0.29599999999999999</v>
      </c>
      <c r="L101" s="175">
        <v>0.13600000000000001</v>
      </c>
      <c r="M101" s="175">
        <v>0.25600000000000001</v>
      </c>
      <c r="N101" s="175">
        <v>0.222</v>
      </c>
      <c r="O101" s="175">
        <v>0.30599999999999999</v>
      </c>
      <c r="P101" s="175">
        <v>0.35799999999999998</v>
      </c>
      <c r="Q101" s="175">
        <v>0.34</v>
      </c>
      <c r="R101" s="175">
        <v>0.16200000000000001</v>
      </c>
      <c r="S101">
        <f t="shared" si="4"/>
        <v>3.0949999999999998</v>
      </c>
    </row>
    <row r="102" spans="1:23" ht="27.6" x14ac:dyDescent="0.3">
      <c r="A102" s="96" t="s">
        <v>499</v>
      </c>
      <c r="B102" s="96" t="s">
        <v>364</v>
      </c>
      <c r="C102" s="97" t="s">
        <v>865</v>
      </c>
      <c r="D102" s="223" t="s">
        <v>1144</v>
      </c>
      <c r="E102" s="98" t="s">
        <v>1130</v>
      </c>
      <c r="F102" s="96" t="s">
        <v>1084</v>
      </c>
      <c r="G102" s="175">
        <v>0.12</v>
      </c>
      <c r="H102" s="175">
        <v>0.28199999999999997</v>
      </c>
      <c r="I102" s="175">
        <v>0.16300000000000001</v>
      </c>
      <c r="J102" s="175">
        <v>0.20499999999999999</v>
      </c>
      <c r="K102" s="175">
        <v>0.20100000000000001</v>
      </c>
      <c r="L102" s="175">
        <v>0.21</v>
      </c>
      <c r="M102" s="175">
        <v>0.25600000000000001</v>
      </c>
      <c r="N102" s="175">
        <v>0.40699999999999997</v>
      </c>
      <c r="O102" s="175">
        <v>9.5000000000000001E-2</v>
      </c>
      <c r="P102" s="175">
        <v>0.14599999999999999</v>
      </c>
      <c r="Q102" s="175">
        <v>0.312</v>
      </c>
      <c r="R102" s="175">
        <v>0.16500000000000001</v>
      </c>
      <c r="S102">
        <f t="shared" si="4"/>
        <v>2.5619999999999998</v>
      </c>
    </row>
    <row r="103" spans="1:23" ht="27.6" x14ac:dyDescent="0.3">
      <c r="A103" s="96" t="s">
        <v>499</v>
      </c>
      <c r="B103" s="96" t="s">
        <v>364</v>
      </c>
      <c r="C103" s="97" t="s">
        <v>865</v>
      </c>
      <c r="D103" s="223" t="s">
        <v>1146</v>
      </c>
      <c r="E103" s="98" t="s">
        <v>1130</v>
      </c>
      <c r="F103" s="96" t="s">
        <v>1084</v>
      </c>
      <c r="G103" s="175">
        <v>7.6999999999999999E-2</v>
      </c>
      <c r="H103" s="175">
        <v>0.27700000000000002</v>
      </c>
      <c r="I103" s="175">
        <v>0.252</v>
      </c>
      <c r="J103" s="175">
        <v>0.219</v>
      </c>
      <c r="K103" s="175">
        <v>0.443</v>
      </c>
      <c r="L103" s="175">
        <v>0.26700000000000002</v>
      </c>
      <c r="M103" s="175">
        <v>0.32700000000000001</v>
      </c>
      <c r="N103" s="175">
        <v>0.44600000000000001</v>
      </c>
      <c r="O103" s="175">
        <v>8.5999999999999993E-2</v>
      </c>
      <c r="P103" s="175">
        <v>0.26</v>
      </c>
      <c r="Q103" s="175">
        <v>0.44600000000000001</v>
      </c>
      <c r="R103" s="175">
        <v>0.14899999999999999</v>
      </c>
      <c r="S103">
        <f t="shared" si="4"/>
        <v>3.2490000000000001</v>
      </c>
    </row>
    <row r="104" spans="1:23" ht="27.6" x14ac:dyDescent="0.3">
      <c r="A104" s="96" t="s">
        <v>463</v>
      </c>
      <c r="B104" s="96" t="s">
        <v>364</v>
      </c>
      <c r="C104" s="97" t="s">
        <v>865</v>
      </c>
      <c r="D104" s="223" t="s">
        <v>1143</v>
      </c>
      <c r="E104" s="98" t="s">
        <v>1130</v>
      </c>
      <c r="F104" s="96" t="s">
        <v>1084</v>
      </c>
      <c r="G104" s="176">
        <v>7.0000000000000001E-3</v>
      </c>
      <c r="H104" s="176">
        <v>7.0000000000000001E-3</v>
      </c>
      <c r="I104" s="176">
        <v>7.0000000000000001E-3</v>
      </c>
      <c r="J104" s="176">
        <v>7.0000000000000001E-3</v>
      </c>
      <c r="K104" s="176">
        <v>7.0000000000000001E-3</v>
      </c>
      <c r="L104" s="176">
        <v>7.0000000000000001E-3</v>
      </c>
      <c r="M104" s="176">
        <v>7.0000000000000001E-3</v>
      </c>
      <c r="N104" s="176">
        <v>7.0000000000000001E-3</v>
      </c>
      <c r="O104" s="176">
        <v>7.0000000000000001E-3</v>
      </c>
      <c r="P104" s="176">
        <v>7.0000000000000001E-3</v>
      </c>
      <c r="Q104" s="176">
        <v>7.0000000000000001E-3</v>
      </c>
      <c r="R104" s="176">
        <v>7.0000000000000001E-3</v>
      </c>
      <c r="S104">
        <v>0</v>
      </c>
    </row>
    <row r="105" spans="1:23" ht="27.6" x14ac:dyDescent="0.3">
      <c r="A105" s="96" t="s">
        <v>463</v>
      </c>
      <c r="B105" s="96" t="s">
        <v>364</v>
      </c>
      <c r="C105" s="97" t="s">
        <v>865</v>
      </c>
      <c r="D105" s="223" t="s">
        <v>1144</v>
      </c>
      <c r="E105" s="98" t="s">
        <v>1130</v>
      </c>
      <c r="F105" s="96" t="s">
        <v>1084</v>
      </c>
      <c r="G105" s="176">
        <v>2.5000000000000001E-2</v>
      </c>
      <c r="H105" s="176">
        <v>2.5000000000000001E-2</v>
      </c>
      <c r="I105" s="176">
        <v>2.5000000000000001E-2</v>
      </c>
      <c r="J105" s="176">
        <v>2.5000000000000001E-2</v>
      </c>
      <c r="K105" s="176">
        <v>2.5000000000000001E-2</v>
      </c>
      <c r="L105" s="176">
        <v>2.5000000000000001E-2</v>
      </c>
      <c r="M105" s="176">
        <v>2.5000000000000001E-2</v>
      </c>
      <c r="N105" s="176">
        <v>2.5000000000000001E-2</v>
      </c>
      <c r="O105" s="176">
        <v>2.5000000000000001E-2</v>
      </c>
      <c r="P105" s="176">
        <v>2.5000000000000001E-2</v>
      </c>
      <c r="Q105" s="176">
        <v>2.5000000000000001E-2</v>
      </c>
      <c r="R105" s="176">
        <v>2.5000000000000001E-2</v>
      </c>
      <c r="S105">
        <v>0</v>
      </c>
    </row>
    <row r="106" spans="1:23" ht="27.6" x14ac:dyDescent="0.3">
      <c r="A106" s="96" t="s">
        <v>463</v>
      </c>
      <c r="B106" s="96" t="s">
        <v>364</v>
      </c>
      <c r="C106" s="97" t="s">
        <v>865</v>
      </c>
      <c r="D106" s="223" t="s">
        <v>1146</v>
      </c>
      <c r="E106" s="98" t="s">
        <v>1130</v>
      </c>
      <c r="F106" s="96" t="s">
        <v>1084</v>
      </c>
      <c r="G106" s="176">
        <v>1.9E-2</v>
      </c>
      <c r="H106" s="176">
        <v>1.9E-2</v>
      </c>
      <c r="I106" s="176">
        <v>1.9E-2</v>
      </c>
      <c r="J106" s="176">
        <v>1.9E-2</v>
      </c>
      <c r="K106" s="176">
        <v>1.9E-2</v>
      </c>
      <c r="L106" s="176">
        <v>1.9E-2</v>
      </c>
      <c r="M106" s="176">
        <v>1.9E-2</v>
      </c>
      <c r="N106" s="176">
        <v>1.9E-2</v>
      </c>
      <c r="O106" s="176">
        <v>1.9E-2</v>
      </c>
      <c r="P106" s="176">
        <v>1.9E-2</v>
      </c>
      <c r="Q106" s="176">
        <v>1.9E-2</v>
      </c>
      <c r="R106" s="176">
        <v>1.9E-2</v>
      </c>
      <c r="S106">
        <v>0</v>
      </c>
    </row>
    <row r="107" spans="1:23" ht="27.6" x14ac:dyDescent="0.3">
      <c r="A107" s="96" t="s">
        <v>517</v>
      </c>
      <c r="B107" s="96"/>
      <c r="C107" s="97" t="s">
        <v>871</v>
      </c>
      <c r="D107" s="223" t="s">
        <v>1143</v>
      </c>
      <c r="E107" s="98" t="s">
        <v>1130</v>
      </c>
      <c r="F107" s="96" t="s">
        <v>1084</v>
      </c>
      <c r="G107" s="176">
        <v>4.1000000000000002E-2</v>
      </c>
      <c r="H107" s="176">
        <v>4.1000000000000002E-2</v>
      </c>
      <c r="I107" s="176">
        <v>4.1000000000000002E-2</v>
      </c>
      <c r="J107" s="176">
        <v>4.1000000000000002E-2</v>
      </c>
      <c r="K107" s="176">
        <v>4.1000000000000002E-2</v>
      </c>
      <c r="L107" s="176">
        <v>4.1000000000000002E-2</v>
      </c>
      <c r="M107" s="176">
        <v>4.1000000000000002E-2</v>
      </c>
      <c r="N107" s="176">
        <v>4.1000000000000002E-2</v>
      </c>
      <c r="O107" s="176">
        <v>4.1000000000000002E-2</v>
      </c>
      <c r="P107" s="176">
        <v>4.1000000000000002E-2</v>
      </c>
      <c r="Q107" s="176">
        <v>4.1000000000000002E-2</v>
      </c>
      <c r="R107" s="176">
        <v>4.1000000000000002E-2</v>
      </c>
      <c r="S107">
        <v>0</v>
      </c>
    </row>
    <row r="108" spans="1:23" ht="27.6" x14ac:dyDescent="0.3">
      <c r="A108" s="96" t="s">
        <v>517</v>
      </c>
      <c r="B108" s="96" t="s">
        <v>505</v>
      </c>
      <c r="C108" s="97" t="s">
        <v>871</v>
      </c>
      <c r="D108" s="223" t="s">
        <v>1144</v>
      </c>
      <c r="E108" s="98" t="s">
        <v>1130</v>
      </c>
      <c r="F108" s="96" t="s">
        <v>1084</v>
      </c>
      <c r="G108" s="176">
        <v>0.21</v>
      </c>
      <c r="H108" s="176">
        <v>0.21</v>
      </c>
      <c r="I108" s="176">
        <v>0.21</v>
      </c>
      <c r="J108" s="176">
        <v>0.21</v>
      </c>
      <c r="K108" s="176">
        <v>0.21</v>
      </c>
      <c r="L108" s="176">
        <v>0.21</v>
      </c>
      <c r="M108" s="176">
        <v>0.21</v>
      </c>
      <c r="N108" s="176">
        <v>0.21</v>
      </c>
      <c r="O108" s="176">
        <v>0.21</v>
      </c>
      <c r="P108" s="176">
        <v>0.21</v>
      </c>
      <c r="Q108" s="176">
        <v>0.21</v>
      </c>
      <c r="R108" s="176">
        <v>0.21</v>
      </c>
      <c r="S108">
        <v>0</v>
      </c>
    </row>
    <row r="109" spans="1:23" ht="27.6" x14ac:dyDescent="0.3">
      <c r="A109" s="96" t="s">
        <v>517</v>
      </c>
      <c r="B109" s="96" t="s">
        <v>505</v>
      </c>
      <c r="C109" s="97" t="s">
        <v>871</v>
      </c>
      <c r="D109" s="223" t="s">
        <v>1146</v>
      </c>
      <c r="E109" s="98" t="s">
        <v>1130</v>
      </c>
      <c r="F109" s="96" t="s">
        <v>1084</v>
      </c>
      <c r="G109" s="176">
        <v>0.27100000000000002</v>
      </c>
      <c r="H109" s="176">
        <v>0.27100000000000002</v>
      </c>
      <c r="I109" s="176">
        <v>0.27100000000000002</v>
      </c>
      <c r="J109" s="176">
        <v>0.27100000000000002</v>
      </c>
      <c r="K109" s="176">
        <v>0.27100000000000002</v>
      </c>
      <c r="L109" s="176">
        <v>0.27100000000000002</v>
      </c>
      <c r="M109" s="176">
        <v>0.27100000000000002</v>
      </c>
      <c r="N109" s="176">
        <v>0.27100000000000002</v>
      </c>
      <c r="O109" s="176">
        <v>0.27100000000000002</v>
      </c>
      <c r="P109" s="176">
        <v>0.27100000000000002</v>
      </c>
      <c r="Q109" s="176">
        <v>0.27100000000000002</v>
      </c>
      <c r="R109" s="176">
        <v>0.27100000000000002</v>
      </c>
      <c r="S109">
        <v>0</v>
      </c>
    </row>
    <row r="110" spans="1:23" ht="27.6" x14ac:dyDescent="0.3">
      <c r="A110" s="96" t="s">
        <v>460</v>
      </c>
      <c r="B110" s="96" t="s">
        <v>364</v>
      </c>
      <c r="C110" s="97" t="s">
        <v>865</v>
      </c>
      <c r="D110" s="223" t="s">
        <v>1143</v>
      </c>
      <c r="E110" s="98" t="s">
        <v>1130</v>
      </c>
      <c r="F110" s="96" t="s">
        <v>1084</v>
      </c>
      <c r="G110" s="175">
        <v>0.23</v>
      </c>
      <c r="H110" s="175">
        <v>0.111</v>
      </c>
      <c r="I110" s="175">
        <v>0.11899999999999999</v>
      </c>
      <c r="J110" s="175">
        <v>7.5999999999999998E-2</v>
      </c>
      <c r="K110" s="175">
        <v>7.8E-2</v>
      </c>
      <c r="L110" s="175">
        <v>7.5999999999999998E-2</v>
      </c>
      <c r="M110" s="175">
        <v>0.04</v>
      </c>
      <c r="N110" s="175">
        <v>0.04</v>
      </c>
      <c r="O110" s="175">
        <v>0.23</v>
      </c>
      <c r="P110" s="175">
        <v>0.35499999999999998</v>
      </c>
      <c r="Q110" s="175">
        <v>0.27200000000000002</v>
      </c>
      <c r="R110" s="175">
        <v>0.192</v>
      </c>
      <c r="S110">
        <f t="shared" si="4"/>
        <v>1.819</v>
      </c>
    </row>
    <row r="111" spans="1:23" ht="27.6" x14ac:dyDescent="0.3">
      <c r="A111" s="96" t="s">
        <v>460</v>
      </c>
      <c r="B111" s="96" t="s">
        <v>364</v>
      </c>
      <c r="C111" s="97" t="s">
        <v>865</v>
      </c>
      <c r="D111" s="223" t="s">
        <v>1144</v>
      </c>
      <c r="E111" s="98" t="s">
        <v>1130</v>
      </c>
      <c r="F111" s="96" t="s">
        <v>1084</v>
      </c>
      <c r="G111" s="175">
        <v>0.314</v>
      </c>
      <c r="H111" s="175">
        <v>0.4</v>
      </c>
      <c r="I111" s="175">
        <v>0.42699999999999999</v>
      </c>
      <c r="J111" s="175">
        <v>0.34399999999999997</v>
      </c>
      <c r="K111" s="175">
        <v>0.41599999999999998</v>
      </c>
      <c r="L111" s="175">
        <v>0.35499999999999998</v>
      </c>
      <c r="M111" s="175">
        <v>0.47199999999999998</v>
      </c>
      <c r="N111" s="175">
        <v>0.36099999999999999</v>
      </c>
      <c r="O111" s="175">
        <v>0.35699999999999998</v>
      </c>
      <c r="P111" s="175">
        <v>0.68400000000000005</v>
      </c>
      <c r="Q111" s="175">
        <v>0.45500000000000002</v>
      </c>
      <c r="R111" s="175">
        <v>0.22</v>
      </c>
      <c r="S111">
        <f t="shared" si="4"/>
        <v>4.8049999999999997</v>
      </c>
    </row>
    <row r="112" spans="1:23" ht="27.6" x14ac:dyDescent="0.3">
      <c r="A112" s="96" t="s">
        <v>460</v>
      </c>
      <c r="B112" s="96" t="s">
        <v>364</v>
      </c>
      <c r="C112" s="97" t="s">
        <v>865</v>
      </c>
      <c r="D112" s="223" t="s">
        <v>1146</v>
      </c>
      <c r="E112" s="98" t="s">
        <v>1130</v>
      </c>
      <c r="F112" s="96" t="s">
        <v>1084</v>
      </c>
      <c r="G112" s="175">
        <v>0.18</v>
      </c>
      <c r="H112" s="175">
        <v>0.36199999999999999</v>
      </c>
      <c r="I112" s="175">
        <v>0.35899999999999999</v>
      </c>
      <c r="J112" s="175">
        <v>0.23100000000000001</v>
      </c>
      <c r="K112" s="175">
        <v>0.27200000000000002</v>
      </c>
      <c r="L112" s="175">
        <v>0.17899999999999999</v>
      </c>
      <c r="M112" s="175">
        <v>0.35699999999999998</v>
      </c>
      <c r="N112" s="175">
        <v>0.32900000000000001</v>
      </c>
      <c r="O112" s="175">
        <v>0.51200000000000001</v>
      </c>
      <c r="P112" s="175">
        <v>0.35599999999999998</v>
      </c>
      <c r="Q112" s="175">
        <v>0.32100000000000001</v>
      </c>
      <c r="R112" s="175">
        <v>0.19600000000000001</v>
      </c>
      <c r="S112">
        <f t="shared" si="4"/>
        <v>3.6540000000000004</v>
      </c>
    </row>
    <row r="113" spans="1:19" ht="27.6" x14ac:dyDescent="0.3">
      <c r="A113" s="96" t="s">
        <v>1094</v>
      </c>
      <c r="B113" s="96" t="s">
        <v>364</v>
      </c>
      <c r="C113" s="97" t="s">
        <v>865</v>
      </c>
      <c r="D113" s="223" t="s">
        <v>1143</v>
      </c>
      <c r="E113" s="98" t="s">
        <v>1130</v>
      </c>
      <c r="F113" s="96" t="s">
        <v>1084</v>
      </c>
      <c r="G113" s="175">
        <v>0.42099999999999999</v>
      </c>
      <c r="H113" s="175">
        <v>0.17599999999999999</v>
      </c>
      <c r="I113" s="175">
        <v>0.33400000000000002</v>
      </c>
      <c r="J113" s="175">
        <v>0.126</v>
      </c>
      <c r="K113" s="175">
        <v>0.17299999999999999</v>
      </c>
      <c r="L113" s="175">
        <v>0.308</v>
      </c>
      <c r="M113" s="175">
        <v>0.20200000000000001</v>
      </c>
      <c r="N113" s="175">
        <v>0.126</v>
      </c>
      <c r="O113" s="175">
        <v>0.11799999999999999</v>
      </c>
      <c r="P113" s="175">
        <v>0.11700000000000001</v>
      </c>
      <c r="Q113" s="175">
        <v>0.14899999999999999</v>
      </c>
      <c r="R113" s="175">
        <v>0.182</v>
      </c>
      <c r="S113">
        <f t="shared" si="4"/>
        <v>2.4319999999999999</v>
      </c>
    </row>
    <row r="114" spans="1:19" ht="27.6" x14ac:dyDescent="0.3">
      <c r="A114" s="96" t="s">
        <v>1094</v>
      </c>
      <c r="B114" s="96" t="s">
        <v>364</v>
      </c>
      <c r="C114" s="97" t="s">
        <v>865</v>
      </c>
      <c r="D114" s="223" t="s">
        <v>1144</v>
      </c>
      <c r="E114" s="98" t="s">
        <v>1130</v>
      </c>
      <c r="F114" s="96" t="s">
        <v>1084</v>
      </c>
      <c r="G114" s="175">
        <v>0.33200000000000002</v>
      </c>
      <c r="H114" s="175">
        <v>1.476</v>
      </c>
      <c r="I114" s="175">
        <v>1.2649999999999999</v>
      </c>
      <c r="J114" s="175">
        <v>1.254</v>
      </c>
      <c r="K114" s="175">
        <v>1.946</v>
      </c>
      <c r="L114" s="175">
        <v>1.8169999999999999</v>
      </c>
      <c r="M114" s="175">
        <v>1.827</v>
      </c>
      <c r="N114" s="175">
        <v>3.2789999999999999</v>
      </c>
      <c r="O114" s="175">
        <v>1.9419999999999999</v>
      </c>
      <c r="P114" s="175">
        <v>2.06</v>
      </c>
      <c r="Q114" s="175">
        <v>2.0979999999999999</v>
      </c>
      <c r="R114" s="175">
        <v>1.6120000000000001</v>
      </c>
      <c r="S114">
        <f t="shared" si="4"/>
        <v>20.908000000000001</v>
      </c>
    </row>
    <row r="115" spans="1:19" ht="27.6" x14ac:dyDescent="0.3">
      <c r="A115" s="96" t="s">
        <v>1094</v>
      </c>
      <c r="B115" s="96" t="s">
        <v>364</v>
      </c>
      <c r="C115" s="97" t="s">
        <v>865</v>
      </c>
      <c r="D115" s="223" t="s">
        <v>1146</v>
      </c>
      <c r="E115" s="98" t="s">
        <v>1130</v>
      </c>
      <c r="F115" s="96" t="s">
        <v>1084</v>
      </c>
      <c r="G115" s="175">
        <v>0.373</v>
      </c>
      <c r="H115" s="175">
        <v>0.77100000000000002</v>
      </c>
      <c r="I115" s="175">
        <v>0.51200000000000001</v>
      </c>
      <c r="J115" s="175">
        <v>0.60799999999999998</v>
      </c>
      <c r="K115" s="175">
        <v>0.75600000000000001</v>
      </c>
      <c r="L115" s="175">
        <v>0.48699999999999999</v>
      </c>
      <c r="M115" s="175">
        <v>0.309</v>
      </c>
      <c r="N115" s="175">
        <v>0.29099999999999998</v>
      </c>
      <c r="O115" s="175">
        <v>0.34599999999999997</v>
      </c>
      <c r="P115" s="175">
        <v>0.52900000000000003</v>
      </c>
      <c r="Q115" s="175">
        <v>0.45800000000000002</v>
      </c>
      <c r="R115" s="175">
        <v>0.44800000000000001</v>
      </c>
      <c r="S115">
        <f t="shared" si="4"/>
        <v>5.8880000000000017</v>
      </c>
    </row>
    <row r="116" spans="1:19" ht="27.6" x14ac:dyDescent="0.3">
      <c r="A116" s="96" t="s">
        <v>1095</v>
      </c>
      <c r="B116" s="96" t="s">
        <v>364</v>
      </c>
      <c r="C116" s="97" t="s">
        <v>865</v>
      </c>
      <c r="D116" s="223" t="s">
        <v>1143</v>
      </c>
      <c r="E116" s="98" t="s">
        <v>1130</v>
      </c>
      <c r="F116" s="96" t="s">
        <v>1084</v>
      </c>
      <c r="G116" s="175">
        <v>0.16200000000000001</v>
      </c>
      <c r="H116" s="175">
        <v>0.249</v>
      </c>
      <c r="I116" s="175">
        <v>0.29199999999999998</v>
      </c>
      <c r="J116" s="175">
        <v>0.12</v>
      </c>
      <c r="K116" s="175">
        <v>0.108</v>
      </c>
      <c r="L116" s="175">
        <v>0.128</v>
      </c>
      <c r="M116" s="175">
        <v>0.253</v>
      </c>
      <c r="N116" s="175">
        <v>8.8999999999999996E-2</v>
      </c>
      <c r="O116" s="175">
        <v>0.108</v>
      </c>
      <c r="P116" s="175">
        <v>0.30199999999999999</v>
      </c>
      <c r="Q116" s="175">
        <v>0.318</v>
      </c>
      <c r="R116" s="175">
        <v>0.27600000000000002</v>
      </c>
      <c r="S116">
        <f t="shared" si="4"/>
        <v>2.4050000000000002</v>
      </c>
    </row>
    <row r="117" spans="1:19" ht="27.6" x14ac:dyDescent="0.3">
      <c r="A117" s="96" t="s">
        <v>1095</v>
      </c>
      <c r="B117" s="96" t="s">
        <v>364</v>
      </c>
      <c r="C117" s="97" t="s">
        <v>865</v>
      </c>
      <c r="D117" s="223" t="s">
        <v>1144</v>
      </c>
      <c r="E117" s="98" t="s">
        <v>1130</v>
      </c>
      <c r="F117" s="96" t="s">
        <v>1084</v>
      </c>
      <c r="G117" s="175">
        <v>0.191</v>
      </c>
      <c r="H117" s="175">
        <v>0.28299999999999997</v>
      </c>
      <c r="I117" s="175">
        <v>0.223</v>
      </c>
      <c r="J117" s="175">
        <v>0.82199999999999995</v>
      </c>
      <c r="K117" s="175">
        <v>0.22700000000000001</v>
      </c>
      <c r="L117" s="175">
        <v>0.23899999999999999</v>
      </c>
      <c r="M117" s="175">
        <v>0.312</v>
      </c>
      <c r="N117" s="175">
        <v>0.16200000000000001</v>
      </c>
      <c r="O117" s="175">
        <v>0.22700000000000001</v>
      </c>
      <c r="P117" s="175">
        <v>0.24099999999999999</v>
      </c>
      <c r="Q117" s="175">
        <v>0.17799999999999999</v>
      </c>
      <c r="R117" s="175">
        <v>0.222</v>
      </c>
      <c r="S117">
        <f t="shared" si="4"/>
        <v>3.3269999999999995</v>
      </c>
    </row>
    <row r="118" spans="1:19" ht="27.6" x14ac:dyDescent="0.3">
      <c r="A118" s="96" t="s">
        <v>1095</v>
      </c>
      <c r="B118" s="96" t="s">
        <v>364</v>
      </c>
      <c r="C118" s="97" t="s">
        <v>865</v>
      </c>
      <c r="D118" s="223" t="s">
        <v>1146</v>
      </c>
      <c r="E118" s="98" t="s">
        <v>1130</v>
      </c>
      <c r="F118" s="96" t="s">
        <v>1084</v>
      </c>
      <c r="G118" s="175">
        <v>0.34</v>
      </c>
      <c r="H118" s="175">
        <v>0.47599999999999998</v>
      </c>
      <c r="I118" s="175">
        <v>0.36899999999999999</v>
      </c>
      <c r="J118" s="175">
        <v>0.38200000000000001</v>
      </c>
      <c r="K118" s="175">
        <v>0.316</v>
      </c>
      <c r="L118" s="175">
        <v>0.308</v>
      </c>
      <c r="M118" s="175">
        <v>0.34</v>
      </c>
      <c r="N118" s="175">
        <v>0.441</v>
      </c>
      <c r="O118" s="175">
        <v>0.17699999999999999</v>
      </c>
      <c r="P118" s="175">
        <v>0.40200000000000002</v>
      </c>
      <c r="Q118" s="175">
        <v>0.34699999999999998</v>
      </c>
      <c r="R118" s="175">
        <v>0.42699999999999999</v>
      </c>
      <c r="S118">
        <f t="shared" si="4"/>
        <v>4.3250000000000002</v>
      </c>
    </row>
    <row r="119" spans="1:19" ht="27.6" x14ac:dyDescent="0.3">
      <c r="A119" s="96" t="s">
        <v>456</v>
      </c>
      <c r="B119" s="96" t="s">
        <v>364</v>
      </c>
      <c r="C119" s="97" t="s">
        <v>871</v>
      </c>
      <c r="D119" s="223" t="s">
        <v>1143</v>
      </c>
      <c r="E119" s="98" t="s">
        <v>1130</v>
      </c>
      <c r="F119" s="96" t="s">
        <v>1084</v>
      </c>
      <c r="G119" s="175">
        <v>0.19400000000000001</v>
      </c>
      <c r="H119" s="175">
        <v>0.314</v>
      </c>
      <c r="I119" s="175">
        <v>0.19700000000000001</v>
      </c>
      <c r="J119" s="175">
        <v>0.218</v>
      </c>
      <c r="K119" s="175">
        <v>0.21199999999999999</v>
      </c>
      <c r="L119" s="175">
        <v>0.21299999999999999</v>
      </c>
      <c r="M119" s="175">
        <v>0.23400000000000001</v>
      </c>
      <c r="N119" s="175">
        <v>0.34399999999999997</v>
      </c>
      <c r="O119" s="175">
        <v>0.27</v>
      </c>
      <c r="P119" s="175">
        <v>0.20499999999999999</v>
      </c>
      <c r="Q119" s="175">
        <v>0.23599999999999999</v>
      </c>
      <c r="R119" s="175">
        <v>0.221</v>
      </c>
      <c r="S119">
        <f t="shared" si="4"/>
        <v>2.8580000000000005</v>
      </c>
    </row>
    <row r="120" spans="1:19" ht="27.6" x14ac:dyDescent="0.3">
      <c r="A120" s="96" t="s">
        <v>456</v>
      </c>
      <c r="B120" s="96" t="s">
        <v>364</v>
      </c>
      <c r="C120" s="97" t="s">
        <v>871</v>
      </c>
      <c r="D120" s="223" t="s">
        <v>1144</v>
      </c>
      <c r="E120" s="98" t="s">
        <v>1130</v>
      </c>
      <c r="F120" s="96" t="s">
        <v>1084</v>
      </c>
      <c r="G120" s="175">
        <v>1.8140000000000001</v>
      </c>
      <c r="H120" s="175">
        <v>1.405</v>
      </c>
      <c r="I120" s="175">
        <v>1.546</v>
      </c>
      <c r="J120" s="175">
        <v>0.748</v>
      </c>
      <c r="K120" s="175">
        <v>1.5569999999999999</v>
      </c>
      <c r="L120" s="175">
        <v>1.2090000000000001</v>
      </c>
      <c r="M120" s="175">
        <v>1.681</v>
      </c>
      <c r="N120" s="175">
        <v>1.0449999999999999</v>
      </c>
      <c r="O120" s="175">
        <v>1.1599999999999999</v>
      </c>
      <c r="P120" s="175">
        <v>1.296</v>
      </c>
      <c r="Q120" s="175">
        <v>1.478</v>
      </c>
      <c r="R120" s="175">
        <v>1.734</v>
      </c>
      <c r="S120">
        <f t="shared" si="4"/>
        <v>16.673000000000002</v>
      </c>
    </row>
    <row r="121" spans="1:19" ht="27.6" x14ac:dyDescent="0.3">
      <c r="A121" s="96" t="s">
        <v>456</v>
      </c>
      <c r="B121" s="96" t="s">
        <v>364</v>
      </c>
      <c r="C121" s="97" t="s">
        <v>871</v>
      </c>
      <c r="D121" s="223" t="s">
        <v>1146</v>
      </c>
      <c r="E121" s="98" t="s">
        <v>1130</v>
      </c>
      <c r="F121" s="96" t="s">
        <v>1084</v>
      </c>
      <c r="G121" s="175">
        <v>2.5139999999999998</v>
      </c>
      <c r="H121" s="175">
        <v>1.9179999999999999</v>
      </c>
      <c r="I121" s="175">
        <v>2.2890000000000001</v>
      </c>
      <c r="J121" s="175">
        <v>2.1179999999999999</v>
      </c>
      <c r="K121" s="175">
        <v>1.92</v>
      </c>
      <c r="L121" s="175">
        <v>2.1930000000000001</v>
      </c>
      <c r="M121" s="175">
        <v>2.3679999999999999</v>
      </c>
      <c r="N121" s="175">
        <v>2.0209999999999999</v>
      </c>
      <c r="O121" s="175">
        <v>1.56</v>
      </c>
      <c r="P121" s="175">
        <v>2.0640000000000001</v>
      </c>
      <c r="Q121" s="175">
        <v>1.982</v>
      </c>
      <c r="R121" s="175">
        <v>1.081</v>
      </c>
      <c r="S121">
        <f t="shared" si="4"/>
        <v>24.027999999999999</v>
      </c>
    </row>
    <row r="122" spans="1:19" ht="27.6" x14ac:dyDescent="0.3">
      <c r="A122" s="96" t="s">
        <v>461</v>
      </c>
      <c r="B122" s="96" t="s">
        <v>364</v>
      </c>
      <c r="C122" s="97" t="s">
        <v>865</v>
      </c>
      <c r="D122" s="223" t="s">
        <v>1143</v>
      </c>
      <c r="E122" s="98" t="s">
        <v>1130</v>
      </c>
      <c r="F122" s="96" t="s">
        <v>1084</v>
      </c>
      <c r="G122" s="175">
        <v>0.104</v>
      </c>
      <c r="H122" s="175">
        <v>0.217</v>
      </c>
      <c r="I122" s="175">
        <v>0.16</v>
      </c>
      <c r="J122" s="175">
        <v>0.14499999999999999</v>
      </c>
      <c r="K122" s="175">
        <v>0.161</v>
      </c>
      <c r="L122" s="175">
        <v>0.185</v>
      </c>
      <c r="M122" s="175">
        <v>0.23100000000000001</v>
      </c>
      <c r="N122" s="175">
        <v>0.219</v>
      </c>
      <c r="O122" s="175">
        <v>0.214</v>
      </c>
      <c r="P122" s="175">
        <v>0.311</v>
      </c>
      <c r="Q122" s="175">
        <v>0.309</v>
      </c>
      <c r="R122" s="175">
        <v>0.27600000000000002</v>
      </c>
      <c r="S122">
        <f t="shared" si="4"/>
        <v>2.532</v>
      </c>
    </row>
    <row r="123" spans="1:19" ht="27.6" x14ac:dyDescent="0.3">
      <c r="A123" s="96" t="s">
        <v>461</v>
      </c>
      <c r="B123" s="96" t="s">
        <v>364</v>
      </c>
      <c r="C123" s="97" t="s">
        <v>865</v>
      </c>
      <c r="D123" s="223" t="s">
        <v>1144</v>
      </c>
      <c r="E123" s="98" t="s">
        <v>1130</v>
      </c>
      <c r="F123" s="96" t="s">
        <v>1084</v>
      </c>
      <c r="G123" s="175">
        <v>0.313</v>
      </c>
      <c r="H123" s="175">
        <v>0.42899999999999999</v>
      </c>
      <c r="I123" s="175">
        <v>0.47</v>
      </c>
      <c r="J123" s="175">
        <v>0.29799999999999999</v>
      </c>
      <c r="K123" s="175">
        <v>0.39800000000000002</v>
      </c>
      <c r="L123" s="175">
        <v>0.317</v>
      </c>
      <c r="M123" s="175">
        <v>0.48299999999999998</v>
      </c>
      <c r="N123" s="175">
        <v>0.40699999999999997</v>
      </c>
      <c r="O123" s="175">
        <v>0.34799999999999998</v>
      </c>
      <c r="P123" s="175">
        <v>0.254</v>
      </c>
      <c r="Q123" s="175">
        <v>0.313</v>
      </c>
      <c r="R123" s="175">
        <v>0.432</v>
      </c>
      <c r="S123">
        <f t="shared" si="4"/>
        <v>4.4620000000000006</v>
      </c>
    </row>
    <row r="124" spans="1:19" ht="27.6" x14ac:dyDescent="0.3">
      <c r="A124" s="96" t="s">
        <v>461</v>
      </c>
      <c r="B124" s="96" t="s">
        <v>364</v>
      </c>
      <c r="C124" s="97" t="s">
        <v>865</v>
      </c>
      <c r="D124" s="223" t="s">
        <v>1146</v>
      </c>
      <c r="E124" s="98" t="s">
        <v>1130</v>
      </c>
      <c r="F124" s="96" t="s">
        <v>1084</v>
      </c>
      <c r="G124" s="175">
        <v>0.63800000000000001</v>
      </c>
      <c r="H124" s="175">
        <v>0.81699999999999995</v>
      </c>
      <c r="I124" s="175">
        <v>0.54300000000000004</v>
      </c>
      <c r="J124" s="175">
        <v>0.41199999999999998</v>
      </c>
      <c r="K124" s="175">
        <v>0.59699999999999998</v>
      </c>
      <c r="L124" s="175">
        <v>0.40799999999999997</v>
      </c>
      <c r="M124" s="175">
        <v>0.51500000000000001</v>
      </c>
      <c r="N124" s="175">
        <v>0.53100000000000003</v>
      </c>
      <c r="O124" s="175">
        <v>0.59499999999999997</v>
      </c>
      <c r="P124" s="175">
        <v>0.53200000000000003</v>
      </c>
      <c r="Q124" s="175">
        <v>0.79500000000000004</v>
      </c>
      <c r="R124" s="175">
        <v>0.56799999999999995</v>
      </c>
      <c r="S124">
        <f t="shared" si="4"/>
        <v>6.9509999999999996</v>
      </c>
    </row>
    <row r="125" spans="1:19" ht="27.6" x14ac:dyDescent="0.3">
      <c r="A125" s="96" t="s">
        <v>462</v>
      </c>
      <c r="B125" s="96" t="s">
        <v>364</v>
      </c>
      <c r="C125" s="97" t="s">
        <v>865</v>
      </c>
      <c r="D125" s="223" t="s">
        <v>1143</v>
      </c>
      <c r="E125" s="98" t="s">
        <v>1130</v>
      </c>
      <c r="F125" s="96" t="s">
        <v>1084</v>
      </c>
      <c r="G125" s="175">
        <v>9.8000000000000004E-2</v>
      </c>
      <c r="H125" s="175">
        <v>9.6000000000000002E-2</v>
      </c>
      <c r="I125" s="175">
        <v>0.318</v>
      </c>
      <c r="J125" s="175">
        <v>8.4000000000000005E-2</v>
      </c>
      <c r="K125" s="175">
        <v>0.219</v>
      </c>
      <c r="L125" s="175">
        <v>5.3999999999999999E-2</v>
      </c>
      <c r="M125" s="175">
        <v>4.8000000000000001E-2</v>
      </c>
      <c r="N125" s="175">
        <v>6.6000000000000003E-2</v>
      </c>
      <c r="O125" s="175">
        <v>4.4999999999999998E-2</v>
      </c>
      <c r="P125" s="175">
        <v>8.6999999999999994E-2</v>
      </c>
      <c r="Q125" s="175">
        <v>0.11700000000000001</v>
      </c>
      <c r="R125" s="175">
        <v>0.09</v>
      </c>
      <c r="S125">
        <f t="shared" si="4"/>
        <v>1.3220000000000001</v>
      </c>
    </row>
    <row r="126" spans="1:19" ht="27.6" x14ac:dyDescent="0.3">
      <c r="A126" s="96" t="s">
        <v>462</v>
      </c>
      <c r="B126" s="96" t="s">
        <v>364</v>
      </c>
      <c r="C126" s="97" t="s">
        <v>865</v>
      </c>
      <c r="D126" s="223" t="s">
        <v>1144</v>
      </c>
      <c r="E126" s="98" t="s">
        <v>1130</v>
      </c>
      <c r="F126" s="96" t="s">
        <v>1084</v>
      </c>
      <c r="G126" s="175">
        <v>0.64800000000000002</v>
      </c>
      <c r="H126" s="175">
        <v>0.64800000000000002</v>
      </c>
      <c r="I126" s="175">
        <v>0.433</v>
      </c>
      <c r="J126" s="175">
        <v>0.63800000000000001</v>
      </c>
      <c r="K126" s="175">
        <v>0.66300000000000003</v>
      </c>
      <c r="L126" s="175">
        <v>0.68100000000000005</v>
      </c>
      <c r="M126" s="175">
        <v>0.65500000000000003</v>
      </c>
      <c r="N126" s="175">
        <v>1.3779999999999999</v>
      </c>
      <c r="O126" s="175">
        <v>1.2330000000000001</v>
      </c>
      <c r="P126" s="175">
        <v>1.45</v>
      </c>
      <c r="Q126" s="175">
        <v>1.8280000000000001</v>
      </c>
      <c r="R126" s="175">
        <v>1.885</v>
      </c>
      <c r="S126">
        <f t="shared" si="4"/>
        <v>12.139999999999999</v>
      </c>
    </row>
    <row r="127" spans="1:19" ht="27.6" x14ac:dyDescent="0.3">
      <c r="A127" s="96" t="s">
        <v>462</v>
      </c>
      <c r="B127" s="96" t="s">
        <v>364</v>
      </c>
      <c r="C127" s="97" t="s">
        <v>865</v>
      </c>
      <c r="D127" s="223" t="s">
        <v>1146</v>
      </c>
      <c r="E127" s="98" t="s">
        <v>1130</v>
      </c>
      <c r="F127" s="96" t="s">
        <v>1084</v>
      </c>
      <c r="G127" s="175">
        <v>9.7000000000000003E-2</v>
      </c>
      <c r="H127" s="175">
        <v>0.192</v>
      </c>
      <c r="I127" s="175">
        <v>8.6999999999999994E-2</v>
      </c>
      <c r="J127" s="175">
        <v>0.16800000000000001</v>
      </c>
      <c r="K127" s="175">
        <v>0.17399999999999999</v>
      </c>
      <c r="L127" s="175">
        <v>8.4000000000000005E-2</v>
      </c>
      <c r="M127" s="175">
        <v>7.0000000000000007E-2</v>
      </c>
      <c r="N127" s="175">
        <v>0.17</v>
      </c>
      <c r="O127" s="175">
        <v>0.17699999999999999</v>
      </c>
      <c r="P127" s="175">
        <v>0.191</v>
      </c>
      <c r="Q127" s="175">
        <v>0.16400000000000001</v>
      </c>
      <c r="R127" s="175">
        <v>0.13900000000000001</v>
      </c>
      <c r="S127">
        <f t="shared" si="4"/>
        <v>1.7129999999999999</v>
      </c>
    </row>
    <row r="128" spans="1:19" ht="27.6" x14ac:dyDescent="0.3">
      <c r="A128" s="96" t="s">
        <v>459</v>
      </c>
      <c r="B128" s="96" t="s">
        <v>364</v>
      </c>
      <c r="C128" s="97" t="s">
        <v>865</v>
      </c>
      <c r="D128" s="223" t="s">
        <v>1143</v>
      </c>
      <c r="E128" s="98" t="s">
        <v>1130</v>
      </c>
      <c r="F128" s="96" t="s">
        <v>1084</v>
      </c>
      <c r="G128" s="175">
        <v>0.28000000000000003</v>
      </c>
      <c r="H128" s="175">
        <v>0.16900000000000001</v>
      </c>
      <c r="I128" s="175">
        <v>0.23699999999999999</v>
      </c>
      <c r="J128" s="175">
        <v>0.33200000000000002</v>
      </c>
      <c r="K128" s="175">
        <v>0.48199999999999998</v>
      </c>
      <c r="L128" s="175">
        <v>0.27300000000000002</v>
      </c>
      <c r="M128" s="175">
        <v>0.214</v>
      </c>
      <c r="N128" s="175">
        <v>0.22800000000000001</v>
      </c>
      <c r="O128" s="175">
        <v>0.246</v>
      </c>
      <c r="P128" s="175">
        <v>0.30199999999999999</v>
      </c>
      <c r="Q128" s="175">
        <v>0.308</v>
      </c>
      <c r="R128" s="175">
        <v>0.15</v>
      </c>
      <c r="S128">
        <f t="shared" si="4"/>
        <v>3.2210000000000001</v>
      </c>
    </row>
    <row r="129" spans="1:19" ht="27.6" x14ac:dyDescent="0.3">
      <c r="A129" s="96" t="s">
        <v>459</v>
      </c>
      <c r="B129" s="96" t="s">
        <v>364</v>
      </c>
      <c r="C129" s="97" t="s">
        <v>865</v>
      </c>
      <c r="D129" s="223" t="s">
        <v>1144</v>
      </c>
      <c r="E129" s="98" t="s">
        <v>1130</v>
      </c>
      <c r="F129" s="96" t="s">
        <v>1084</v>
      </c>
      <c r="G129" s="175">
        <v>0.39700000000000002</v>
      </c>
      <c r="H129" s="175">
        <v>0.27</v>
      </c>
      <c r="I129" s="175">
        <v>0.42799999999999999</v>
      </c>
      <c r="J129" s="175">
        <v>0.47199999999999998</v>
      </c>
      <c r="K129" s="175">
        <v>0.59399999999999997</v>
      </c>
      <c r="L129" s="175">
        <v>1.2869999999999999</v>
      </c>
      <c r="M129" s="175">
        <v>0.436</v>
      </c>
      <c r="N129" s="175">
        <v>0.375</v>
      </c>
      <c r="O129" s="175">
        <v>0.55000000000000004</v>
      </c>
      <c r="P129" s="175">
        <v>0.49099999999999999</v>
      </c>
      <c r="Q129" s="175">
        <v>0.23799999999999999</v>
      </c>
      <c r="R129" s="175">
        <v>0.22600000000000001</v>
      </c>
      <c r="S129">
        <f t="shared" si="4"/>
        <v>5.7640000000000002</v>
      </c>
    </row>
    <row r="130" spans="1:19" ht="27.6" x14ac:dyDescent="0.3">
      <c r="A130" s="96" t="s">
        <v>459</v>
      </c>
      <c r="B130" s="96" t="s">
        <v>364</v>
      </c>
      <c r="C130" s="97" t="s">
        <v>865</v>
      </c>
      <c r="D130" s="223" t="s">
        <v>1146</v>
      </c>
      <c r="E130" s="98" t="s">
        <v>1130</v>
      </c>
      <c r="F130" s="96" t="s">
        <v>1084</v>
      </c>
      <c r="G130" s="175">
        <v>0.48699999999999999</v>
      </c>
      <c r="H130" s="175">
        <v>0.51200000000000001</v>
      </c>
      <c r="I130" s="175">
        <v>0.92900000000000005</v>
      </c>
      <c r="J130" s="175">
        <v>0.98899999999999999</v>
      </c>
      <c r="K130" s="175">
        <v>1.1890000000000001</v>
      </c>
      <c r="L130" s="175">
        <v>1.1759999999999999</v>
      </c>
      <c r="M130" s="175">
        <v>0.81799999999999995</v>
      </c>
      <c r="N130" s="175">
        <v>0.91400000000000003</v>
      </c>
      <c r="O130" s="175">
        <v>0.65700000000000003</v>
      </c>
      <c r="P130" s="175">
        <v>0.86899999999999999</v>
      </c>
      <c r="Q130" s="175">
        <v>0.74</v>
      </c>
      <c r="R130" s="175">
        <v>0.46200000000000002</v>
      </c>
      <c r="S130">
        <f t="shared" si="4"/>
        <v>9.7419999999999991</v>
      </c>
    </row>
    <row r="131" spans="1:19" ht="27.6" x14ac:dyDescent="0.3">
      <c r="A131" s="179" t="s">
        <v>836</v>
      </c>
      <c r="B131" s="96" t="s">
        <v>505</v>
      </c>
      <c r="C131" s="97" t="s">
        <v>871</v>
      </c>
      <c r="D131" s="223" t="s">
        <v>1143</v>
      </c>
      <c r="E131" s="98" t="s">
        <v>1130</v>
      </c>
      <c r="F131" s="96" t="s">
        <v>1084</v>
      </c>
      <c r="G131" s="175">
        <v>0</v>
      </c>
      <c r="H131" s="175">
        <v>0</v>
      </c>
      <c r="I131" s="175">
        <v>0</v>
      </c>
      <c r="J131" s="175">
        <v>0</v>
      </c>
      <c r="K131" s="175">
        <v>0</v>
      </c>
      <c r="L131" s="175">
        <v>0</v>
      </c>
      <c r="M131" s="175">
        <v>0</v>
      </c>
      <c r="N131" s="175">
        <v>0</v>
      </c>
      <c r="O131" s="175">
        <v>0</v>
      </c>
      <c r="P131" s="175">
        <v>0</v>
      </c>
      <c r="Q131" s="175">
        <v>0</v>
      </c>
      <c r="R131" s="175">
        <v>0</v>
      </c>
      <c r="S131">
        <f t="shared" si="4"/>
        <v>0</v>
      </c>
    </row>
    <row r="132" spans="1:19" ht="27.6" x14ac:dyDescent="0.3">
      <c r="A132" s="179" t="s">
        <v>836</v>
      </c>
      <c r="B132" s="96" t="s">
        <v>505</v>
      </c>
      <c r="C132" s="97" t="s">
        <v>871</v>
      </c>
      <c r="D132" s="223" t="s">
        <v>1144</v>
      </c>
      <c r="E132" s="98" t="s">
        <v>1130</v>
      </c>
      <c r="F132" s="96" t="s">
        <v>1084</v>
      </c>
      <c r="G132" s="175">
        <v>0.13700000000000001</v>
      </c>
      <c r="H132" s="175">
        <v>0.188</v>
      </c>
      <c r="I132" s="175">
        <v>5.8000000000000003E-2</v>
      </c>
      <c r="J132" s="175">
        <v>7.6999999999999999E-2</v>
      </c>
      <c r="K132" s="175">
        <v>0.08</v>
      </c>
      <c r="L132" s="175">
        <v>7.8E-2</v>
      </c>
      <c r="M132" s="175">
        <v>0.129</v>
      </c>
      <c r="N132" s="175">
        <v>0</v>
      </c>
      <c r="O132" s="175">
        <v>8.9999999999999993E-3</v>
      </c>
      <c r="P132" s="175">
        <v>9.4E-2</v>
      </c>
      <c r="Q132" s="175">
        <v>0.10100000000000001</v>
      </c>
      <c r="R132" s="175">
        <v>0.12</v>
      </c>
      <c r="S132">
        <f t="shared" si="4"/>
        <v>1.071</v>
      </c>
    </row>
    <row r="133" spans="1:19" ht="27.6" x14ac:dyDescent="0.3">
      <c r="A133" s="179" t="s">
        <v>836</v>
      </c>
      <c r="B133" s="96" t="s">
        <v>505</v>
      </c>
      <c r="C133" s="97" t="s">
        <v>871</v>
      </c>
      <c r="D133" s="223" t="s">
        <v>1146</v>
      </c>
      <c r="E133" s="98" t="s">
        <v>1130</v>
      </c>
      <c r="F133" s="96" t="s">
        <v>1084</v>
      </c>
      <c r="G133" s="175">
        <v>0.20200000000000001</v>
      </c>
      <c r="H133" s="175">
        <v>0</v>
      </c>
      <c r="I133" s="175">
        <v>0</v>
      </c>
      <c r="J133" s="175">
        <v>0</v>
      </c>
      <c r="K133" s="175">
        <v>0</v>
      </c>
      <c r="L133" s="175">
        <v>0.12</v>
      </c>
      <c r="M133" s="175">
        <v>0.217</v>
      </c>
      <c r="N133" s="175">
        <v>0.51700000000000002</v>
      </c>
      <c r="O133" s="175">
        <v>7.8E-2</v>
      </c>
      <c r="P133" s="175">
        <v>0.21199999999999999</v>
      </c>
      <c r="Q133" s="175">
        <v>8.4000000000000005E-2</v>
      </c>
      <c r="R133" s="175">
        <v>0.17299999999999999</v>
      </c>
      <c r="S133">
        <f t="shared" si="4"/>
        <v>1.6030000000000002</v>
      </c>
    </row>
    <row r="134" spans="1:19" ht="27.6" x14ac:dyDescent="0.3">
      <c r="A134" t="s">
        <v>841</v>
      </c>
      <c r="B134" s="96" t="s">
        <v>505</v>
      </c>
      <c r="C134" s="97" t="s">
        <v>865</v>
      </c>
      <c r="D134" s="223" t="s">
        <v>1143</v>
      </c>
      <c r="E134" s="98" t="s">
        <v>1130</v>
      </c>
      <c r="F134" s="96" t="s">
        <v>1084</v>
      </c>
      <c r="G134" s="175">
        <v>0.6</v>
      </c>
      <c r="H134" s="175">
        <v>0.3</v>
      </c>
      <c r="I134" s="175">
        <v>0.44</v>
      </c>
      <c r="J134" s="175">
        <v>1.22</v>
      </c>
      <c r="K134" s="175">
        <v>0</v>
      </c>
      <c r="L134" s="175">
        <v>0.62</v>
      </c>
      <c r="M134" s="175">
        <v>0.3</v>
      </c>
      <c r="N134" s="175">
        <v>0.67</v>
      </c>
      <c r="O134" s="175">
        <v>0.41</v>
      </c>
      <c r="P134" s="175">
        <v>0.85</v>
      </c>
      <c r="Q134" s="175">
        <v>0.49</v>
      </c>
      <c r="R134" s="175">
        <v>0.87</v>
      </c>
      <c r="S134">
        <f t="shared" si="4"/>
        <v>6.77</v>
      </c>
    </row>
    <row r="135" spans="1:19" ht="27.6" x14ac:dyDescent="0.3">
      <c r="A135" t="s">
        <v>841</v>
      </c>
      <c r="B135" s="96" t="s">
        <v>505</v>
      </c>
      <c r="C135" s="97" t="s">
        <v>865</v>
      </c>
      <c r="D135" s="223" t="s">
        <v>1144</v>
      </c>
      <c r="E135" s="98" t="s">
        <v>1130</v>
      </c>
      <c r="F135" s="96" t="s">
        <v>1084</v>
      </c>
      <c r="G135" s="175">
        <v>0.3</v>
      </c>
      <c r="H135" s="175">
        <v>7.0000000000000007E-2</v>
      </c>
      <c r="I135" s="175">
        <v>0.31</v>
      </c>
      <c r="J135" s="175">
        <v>0.91</v>
      </c>
      <c r="K135" s="175">
        <v>3.36</v>
      </c>
      <c r="L135" s="175">
        <v>0.22</v>
      </c>
      <c r="M135" s="175">
        <v>0.15</v>
      </c>
      <c r="N135" s="175">
        <v>0.15</v>
      </c>
      <c r="O135" s="175">
        <v>0.28000000000000003</v>
      </c>
      <c r="P135" s="175">
        <v>0.83</v>
      </c>
      <c r="Q135" s="175">
        <v>0.21</v>
      </c>
      <c r="R135" s="175">
        <v>0.41</v>
      </c>
      <c r="S135">
        <f t="shared" si="4"/>
        <v>7.2</v>
      </c>
    </row>
    <row r="136" spans="1:19" ht="27.6" x14ac:dyDescent="0.3">
      <c r="A136" t="s">
        <v>841</v>
      </c>
      <c r="B136" s="96" t="s">
        <v>505</v>
      </c>
      <c r="C136" s="97" t="s">
        <v>865</v>
      </c>
      <c r="D136" s="223" t="s">
        <v>1146</v>
      </c>
      <c r="E136" s="98" t="s">
        <v>1130</v>
      </c>
      <c r="F136" s="96" t="s">
        <v>1084</v>
      </c>
      <c r="G136" s="175">
        <v>0.28999999999999998</v>
      </c>
      <c r="H136" s="175">
        <v>0.35</v>
      </c>
      <c r="I136" s="175">
        <v>0.33</v>
      </c>
      <c r="J136" s="175">
        <v>0.78</v>
      </c>
      <c r="K136" s="175">
        <v>2.0699999999999998</v>
      </c>
      <c r="L136" s="175">
        <v>0.48</v>
      </c>
      <c r="M136" s="175">
        <v>0.28000000000000003</v>
      </c>
      <c r="N136" s="175">
        <v>0.28000000000000003</v>
      </c>
      <c r="O136" s="175">
        <v>0.51</v>
      </c>
      <c r="P136" s="175">
        <v>0.63</v>
      </c>
      <c r="Q136" s="175">
        <v>0.44</v>
      </c>
      <c r="R136" s="175">
        <v>0.62</v>
      </c>
      <c r="S136">
        <f t="shared" si="4"/>
        <v>7.0600000000000005</v>
      </c>
    </row>
    <row r="137" spans="1:19" ht="27.6" x14ac:dyDescent="0.3">
      <c r="A137" s="96" t="s">
        <v>839</v>
      </c>
      <c r="B137" s="96" t="s">
        <v>505</v>
      </c>
      <c r="C137" s="97" t="s">
        <v>865</v>
      </c>
      <c r="D137" s="223" t="s">
        <v>1143</v>
      </c>
      <c r="E137" s="98" t="s">
        <v>1130</v>
      </c>
      <c r="F137" s="96" t="s">
        <v>1084</v>
      </c>
      <c r="G137" s="176">
        <v>2.9000000000000001E-2</v>
      </c>
      <c r="H137" s="176">
        <v>2.9000000000000001E-2</v>
      </c>
      <c r="I137" s="176">
        <v>2.9000000000000001E-2</v>
      </c>
      <c r="J137" s="176">
        <v>2.9000000000000001E-2</v>
      </c>
      <c r="K137" s="176">
        <v>2.9000000000000001E-2</v>
      </c>
      <c r="L137" s="176">
        <v>2.9000000000000001E-2</v>
      </c>
      <c r="M137" s="176">
        <v>2.9000000000000001E-2</v>
      </c>
      <c r="N137" s="176">
        <v>2.9000000000000001E-2</v>
      </c>
      <c r="O137" s="176">
        <v>2.9000000000000001E-2</v>
      </c>
      <c r="P137" s="176">
        <v>2.9000000000000001E-2</v>
      </c>
      <c r="Q137" s="176">
        <v>2.9000000000000001E-2</v>
      </c>
      <c r="R137" s="176">
        <v>2.9000000000000001E-2</v>
      </c>
      <c r="S137">
        <v>0</v>
      </c>
    </row>
    <row r="138" spans="1:19" ht="27.6" x14ac:dyDescent="0.3">
      <c r="A138" s="96" t="s">
        <v>839</v>
      </c>
      <c r="B138" s="96" t="s">
        <v>505</v>
      </c>
      <c r="C138" s="97" t="s">
        <v>865</v>
      </c>
      <c r="D138" s="223" t="s">
        <v>1144</v>
      </c>
      <c r="E138" s="98" t="s">
        <v>1130</v>
      </c>
      <c r="F138" s="96" t="s">
        <v>1084</v>
      </c>
      <c r="G138" s="176">
        <v>7.5999999999999998E-2</v>
      </c>
      <c r="H138" s="176">
        <v>7.5999999999999998E-2</v>
      </c>
      <c r="I138" s="176">
        <v>7.5999999999999998E-2</v>
      </c>
      <c r="J138" s="176">
        <v>7.5999999999999998E-2</v>
      </c>
      <c r="K138" s="176">
        <v>7.5999999999999998E-2</v>
      </c>
      <c r="L138" s="176">
        <v>7.5999999999999998E-2</v>
      </c>
      <c r="M138" s="176">
        <v>7.5999999999999998E-2</v>
      </c>
      <c r="N138" s="176">
        <v>7.5999999999999998E-2</v>
      </c>
      <c r="O138" s="176">
        <v>7.5999999999999998E-2</v>
      </c>
      <c r="P138" s="176">
        <v>7.5999999999999998E-2</v>
      </c>
      <c r="Q138" s="176">
        <v>7.5999999999999998E-2</v>
      </c>
      <c r="R138" s="176">
        <v>7.5999999999999998E-2</v>
      </c>
      <c r="S138">
        <v>0</v>
      </c>
    </row>
    <row r="139" spans="1:19" ht="27.6" x14ac:dyDescent="0.3">
      <c r="A139" s="96" t="s">
        <v>839</v>
      </c>
      <c r="B139" s="96" t="s">
        <v>505</v>
      </c>
      <c r="C139" s="97" t="s">
        <v>865</v>
      </c>
      <c r="D139" s="223" t="s">
        <v>1146</v>
      </c>
      <c r="E139" s="98" t="s">
        <v>1130</v>
      </c>
      <c r="F139" s="96" t="s">
        <v>1084</v>
      </c>
      <c r="G139" s="176">
        <v>5.5E-2</v>
      </c>
      <c r="H139" s="176">
        <v>5.5E-2</v>
      </c>
      <c r="I139" s="176">
        <v>5.5E-2</v>
      </c>
      <c r="J139" s="176">
        <v>5.5E-2</v>
      </c>
      <c r="K139" s="176">
        <v>5.5E-2</v>
      </c>
      <c r="L139" s="176">
        <v>5.5E-2</v>
      </c>
      <c r="M139" s="176">
        <v>5.5E-2</v>
      </c>
      <c r="N139" s="176">
        <v>5.5E-2</v>
      </c>
      <c r="O139" s="176">
        <v>5.5E-2</v>
      </c>
      <c r="P139" s="176">
        <v>5.5E-2</v>
      </c>
      <c r="Q139" s="176">
        <v>5.5E-2</v>
      </c>
      <c r="R139" s="176">
        <v>5.5E-2</v>
      </c>
      <c r="S139">
        <v>0</v>
      </c>
    </row>
    <row r="140" spans="1:19" ht="27.6" x14ac:dyDescent="0.3">
      <c r="A140" s="96" t="s">
        <v>514</v>
      </c>
      <c r="B140" s="96" t="s">
        <v>505</v>
      </c>
      <c r="C140" s="97" t="s">
        <v>865</v>
      </c>
      <c r="D140" s="223" t="s">
        <v>1143</v>
      </c>
      <c r="E140" s="98" t="s">
        <v>1130</v>
      </c>
      <c r="F140" s="96" t="s">
        <v>1084</v>
      </c>
      <c r="G140" s="176">
        <v>2.4E-2</v>
      </c>
      <c r="H140" s="176">
        <v>2.4E-2</v>
      </c>
      <c r="I140" s="176">
        <v>2.4E-2</v>
      </c>
      <c r="J140" s="176">
        <v>2.4E-2</v>
      </c>
      <c r="K140" s="176">
        <v>2.4E-2</v>
      </c>
      <c r="L140" s="176">
        <v>2.4E-2</v>
      </c>
      <c r="M140" s="176">
        <v>2.4E-2</v>
      </c>
      <c r="N140" s="176">
        <v>2.4E-2</v>
      </c>
      <c r="O140" s="176">
        <v>2.4E-2</v>
      </c>
      <c r="P140" s="176">
        <v>2.4E-2</v>
      </c>
      <c r="Q140" s="176">
        <v>2.4E-2</v>
      </c>
      <c r="R140" s="176">
        <v>2.4E-2</v>
      </c>
      <c r="S140">
        <v>0</v>
      </c>
    </row>
    <row r="141" spans="1:19" ht="27.6" x14ac:dyDescent="0.3">
      <c r="A141" s="96" t="s">
        <v>514</v>
      </c>
      <c r="B141" s="96" t="s">
        <v>505</v>
      </c>
      <c r="C141" s="97" t="s">
        <v>865</v>
      </c>
      <c r="D141" s="223" t="s">
        <v>1144</v>
      </c>
      <c r="E141" s="98" t="s">
        <v>1130</v>
      </c>
      <c r="F141" s="96" t="s">
        <v>1084</v>
      </c>
      <c r="G141" s="176">
        <v>6.3E-2</v>
      </c>
      <c r="H141" s="176">
        <v>6.3E-2</v>
      </c>
      <c r="I141" s="176">
        <v>6.3E-2</v>
      </c>
      <c r="J141" s="176">
        <v>6.3E-2</v>
      </c>
      <c r="K141" s="176">
        <v>6.3E-2</v>
      </c>
      <c r="L141" s="176">
        <v>6.3E-2</v>
      </c>
      <c r="M141" s="176">
        <v>6.3E-2</v>
      </c>
      <c r="N141" s="176">
        <v>6.3E-2</v>
      </c>
      <c r="O141" s="176">
        <v>6.3E-2</v>
      </c>
      <c r="P141" s="176">
        <v>6.3E-2</v>
      </c>
      <c r="Q141" s="176">
        <v>6.3E-2</v>
      </c>
      <c r="R141" s="176">
        <v>6.3E-2</v>
      </c>
      <c r="S141">
        <v>0</v>
      </c>
    </row>
    <row r="142" spans="1:19" ht="27.6" x14ac:dyDescent="0.3">
      <c r="A142" s="96" t="s">
        <v>514</v>
      </c>
      <c r="B142" s="96" t="s">
        <v>505</v>
      </c>
      <c r="C142" s="97" t="s">
        <v>865</v>
      </c>
      <c r="D142" s="223" t="s">
        <v>1146</v>
      </c>
      <c r="E142" s="98" t="s">
        <v>1130</v>
      </c>
      <c r="F142" s="96" t="s">
        <v>1084</v>
      </c>
      <c r="G142" s="176">
        <v>4.4999999999999998E-2</v>
      </c>
      <c r="H142" s="176">
        <v>4.4999999999999998E-2</v>
      </c>
      <c r="I142" s="176">
        <v>4.4999999999999998E-2</v>
      </c>
      <c r="J142" s="176">
        <v>4.4999999999999998E-2</v>
      </c>
      <c r="K142" s="176">
        <v>4.4999999999999998E-2</v>
      </c>
      <c r="L142" s="176">
        <v>4.4999999999999998E-2</v>
      </c>
      <c r="M142" s="176">
        <v>4.4999999999999998E-2</v>
      </c>
      <c r="N142" s="176">
        <v>4.4999999999999998E-2</v>
      </c>
      <c r="O142" s="176">
        <v>4.4999999999999998E-2</v>
      </c>
      <c r="P142" s="176">
        <v>4.4999999999999998E-2</v>
      </c>
      <c r="Q142" s="176">
        <v>4.4999999999999998E-2</v>
      </c>
      <c r="R142" s="176">
        <v>4.4999999999999998E-2</v>
      </c>
      <c r="S142">
        <v>0</v>
      </c>
    </row>
    <row r="143" spans="1:19" ht="27.6" x14ac:dyDescent="0.3">
      <c r="A143" s="96" t="s">
        <v>837</v>
      </c>
      <c r="B143" s="96" t="s">
        <v>364</v>
      </c>
      <c r="C143" s="97" t="s">
        <v>871</v>
      </c>
      <c r="D143" s="223" t="s">
        <v>1143</v>
      </c>
      <c r="E143" s="98" t="s">
        <v>1130</v>
      </c>
      <c r="F143" s="96" t="s">
        <v>1084</v>
      </c>
      <c r="G143" s="175">
        <v>0.90800000000000003</v>
      </c>
      <c r="H143" s="175">
        <v>0.98199999999999998</v>
      </c>
      <c r="I143" s="175">
        <v>0.45400000000000001</v>
      </c>
      <c r="J143" s="175">
        <v>0.63400000000000001</v>
      </c>
      <c r="K143" s="175">
        <v>0.54200000000000004</v>
      </c>
      <c r="L143" s="175">
        <v>0.61599999999999999</v>
      </c>
      <c r="M143" s="175">
        <v>0.51500000000000001</v>
      </c>
      <c r="N143" s="175">
        <v>0.67700000000000005</v>
      </c>
      <c r="O143" s="175">
        <v>0.55500000000000005</v>
      </c>
      <c r="P143" s="175">
        <v>0.63</v>
      </c>
      <c r="Q143" s="175">
        <v>0.55000000000000004</v>
      </c>
      <c r="R143" s="175">
        <v>0.45500000000000002</v>
      </c>
      <c r="S143">
        <f t="shared" si="4"/>
        <v>7.5179999999999989</v>
      </c>
    </row>
    <row r="144" spans="1:19" ht="27.6" x14ac:dyDescent="0.3">
      <c r="A144" s="96" t="s">
        <v>837</v>
      </c>
      <c r="B144" s="96" t="s">
        <v>364</v>
      </c>
      <c r="C144" s="97" t="s">
        <v>871</v>
      </c>
      <c r="D144" s="223" t="s">
        <v>1144</v>
      </c>
      <c r="E144" s="98" t="s">
        <v>1130</v>
      </c>
      <c r="F144" s="96" t="s">
        <v>1084</v>
      </c>
      <c r="G144" s="175">
        <v>2.13</v>
      </c>
      <c r="H144" s="175">
        <v>2.2250000000000001</v>
      </c>
      <c r="I144" s="175">
        <v>1.9159999999999999</v>
      </c>
      <c r="J144" s="175">
        <v>2.4550000000000001</v>
      </c>
      <c r="K144" s="175">
        <v>2.1459999999999999</v>
      </c>
      <c r="L144" s="175">
        <v>1.587</v>
      </c>
      <c r="M144" s="175">
        <v>1.827</v>
      </c>
      <c r="N144" s="175">
        <v>1.871</v>
      </c>
      <c r="O144" s="175">
        <v>2.7090000000000001</v>
      </c>
      <c r="P144" s="175">
        <v>3.4119999999999999</v>
      </c>
      <c r="Q144" s="175">
        <v>2.0489999999999999</v>
      </c>
      <c r="R144" s="175">
        <v>2.2010000000000001</v>
      </c>
      <c r="S144">
        <f t="shared" si="4"/>
        <v>26.527999999999999</v>
      </c>
    </row>
    <row r="145" spans="1:19" ht="27.6" x14ac:dyDescent="0.3">
      <c r="A145" s="96" t="s">
        <v>837</v>
      </c>
      <c r="B145" s="96" t="s">
        <v>364</v>
      </c>
      <c r="C145" s="97" t="s">
        <v>871</v>
      </c>
      <c r="D145" s="223" t="s">
        <v>1146</v>
      </c>
      <c r="E145" s="98" t="s">
        <v>1130</v>
      </c>
      <c r="F145" s="96" t="s">
        <v>1084</v>
      </c>
      <c r="G145" s="175">
        <v>5.7549999999999999</v>
      </c>
      <c r="H145" s="175">
        <v>4.9429999999999996</v>
      </c>
      <c r="I145" s="175">
        <v>5.4880000000000004</v>
      </c>
      <c r="J145" s="175">
        <v>4.4420000000000002</v>
      </c>
      <c r="K145" s="175">
        <v>5.6680000000000001</v>
      </c>
      <c r="L145" s="175">
        <v>4.8860000000000001</v>
      </c>
      <c r="M145" s="175">
        <v>5.7759999999999998</v>
      </c>
      <c r="N145" s="175">
        <v>4.5090000000000003</v>
      </c>
      <c r="O145" s="175">
        <v>4.0620000000000003</v>
      </c>
      <c r="P145" s="175">
        <v>5.1440000000000001</v>
      </c>
      <c r="Q145" s="175">
        <v>5.2460000000000004</v>
      </c>
      <c r="R145" s="175">
        <v>5.75</v>
      </c>
      <c r="S145">
        <f t="shared" si="4"/>
        <v>61.668999999999997</v>
      </c>
    </row>
    <row r="146" spans="1:19" x14ac:dyDescent="0.3">
      <c r="A146" s="89"/>
      <c r="B146" s="89"/>
      <c r="C146" s="89"/>
      <c r="D146" s="224"/>
      <c r="E146" s="89"/>
      <c r="F146" s="89"/>
      <c r="G146" s="89"/>
      <c r="H146" s="89"/>
      <c r="I146" s="89"/>
      <c r="J146" s="89"/>
      <c r="K146" s="89"/>
      <c r="L146" s="89"/>
      <c r="M146" s="89"/>
      <c r="N146" s="89"/>
      <c r="O146" s="89"/>
      <c r="P146" s="89"/>
      <c r="Q146" s="89"/>
      <c r="R146" s="89"/>
    </row>
    <row r="148" spans="1:19" ht="45" customHeight="1" x14ac:dyDescent="0.3">
      <c r="A148" s="316" t="s">
        <v>1069</v>
      </c>
      <c r="O148" s="68" t="s">
        <v>1590</v>
      </c>
      <c r="P148" s="68" t="s">
        <v>1591</v>
      </c>
      <c r="Q148" s="68" t="s">
        <v>1592</v>
      </c>
    </row>
    <row r="149" spans="1:19" ht="84" customHeight="1" x14ac:dyDescent="0.3">
      <c r="A149" s="240" t="s">
        <v>974</v>
      </c>
      <c r="B149" s="240" t="s">
        <v>1070</v>
      </c>
      <c r="C149" s="240" t="s">
        <v>324</v>
      </c>
      <c r="D149" s="240" t="s">
        <v>1071</v>
      </c>
      <c r="E149" s="240" t="s">
        <v>845</v>
      </c>
      <c r="F149" s="240" t="s">
        <v>767</v>
      </c>
      <c r="G149" s="240" t="s">
        <v>1072</v>
      </c>
      <c r="H149" s="240" t="s">
        <v>1073</v>
      </c>
      <c r="I149" s="240" t="s">
        <v>1074</v>
      </c>
      <c r="J149" s="240" t="s">
        <v>1075</v>
      </c>
      <c r="K149" s="240" t="s">
        <v>1076</v>
      </c>
      <c r="L149" s="240" t="s">
        <v>1077</v>
      </c>
      <c r="M149" t="s">
        <v>1593</v>
      </c>
      <c r="O149" s="68">
        <f>SUM(L150,L161,L175,L191,L202,L213,L236,L247,L261,)</f>
        <v>544.08635500000003</v>
      </c>
      <c r="P149" s="68">
        <f>SUM(L151,L162,L176,L192,L203,L214,L224,L237,L248,L263,L295,)</f>
        <v>688.92215399999998</v>
      </c>
      <c r="Q149" s="68">
        <f>SUM(L156,L168,L185,L195,L206,L221,L226,L239,L252,L259,L268,L276,L279,L286,L277,L280,L287,L260,)</f>
        <v>1983.5770710000002</v>
      </c>
    </row>
    <row r="150" spans="1:19" ht="27" hidden="1" x14ac:dyDescent="0.3">
      <c r="A150" s="250">
        <v>2024</v>
      </c>
      <c r="B150" s="250" t="s">
        <v>1078</v>
      </c>
      <c r="C150" s="250"/>
      <c r="D150" s="250" t="s">
        <v>497</v>
      </c>
      <c r="E150" s="250"/>
      <c r="F150" s="250" t="s">
        <v>1079</v>
      </c>
      <c r="G150" s="250" t="s">
        <v>35</v>
      </c>
      <c r="H150" s="250">
        <v>472148.27</v>
      </c>
      <c r="I150" s="250"/>
      <c r="J150" s="250"/>
      <c r="K150" s="241">
        <v>80.189206999999996</v>
      </c>
      <c r="L150" s="241">
        <v>80.189206999999996</v>
      </c>
      <c r="M150" t="s">
        <v>364</v>
      </c>
    </row>
    <row r="151" spans="1:19" ht="27" hidden="1" x14ac:dyDescent="0.3">
      <c r="A151" s="251">
        <v>2024</v>
      </c>
      <c r="B151" s="241" t="s">
        <v>1080</v>
      </c>
      <c r="C151" s="241"/>
      <c r="D151" s="241" t="s">
        <v>497</v>
      </c>
      <c r="E151" s="241"/>
      <c r="F151" s="241" t="s">
        <v>1081</v>
      </c>
      <c r="G151" s="241" t="s">
        <v>35</v>
      </c>
      <c r="H151" s="241">
        <v>444412.38400000002</v>
      </c>
      <c r="I151" s="241"/>
      <c r="J151" s="241"/>
      <c r="K151" s="242">
        <v>197.98352600000001</v>
      </c>
      <c r="L151" s="242">
        <v>128.93030099999999</v>
      </c>
      <c r="M151" t="s">
        <v>364</v>
      </c>
    </row>
    <row r="152" spans="1:19" hidden="1" x14ac:dyDescent="0.3">
      <c r="A152" s="252">
        <v>2024</v>
      </c>
      <c r="B152" s="242" t="s">
        <v>1082</v>
      </c>
      <c r="C152" s="242"/>
      <c r="D152" s="242" t="s">
        <v>497</v>
      </c>
      <c r="E152" s="242"/>
      <c r="F152" s="242" t="s">
        <v>1081</v>
      </c>
      <c r="G152" s="242" t="s">
        <v>35</v>
      </c>
      <c r="H152" s="253">
        <v>444412.38400000002</v>
      </c>
      <c r="I152" s="242"/>
      <c r="J152" s="242"/>
      <c r="K152" s="242">
        <v>-197.98352600000001</v>
      </c>
      <c r="L152" s="242"/>
      <c r="M152" t="s">
        <v>364</v>
      </c>
    </row>
    <row r="153" spans="1:19" ht="27" x14ac:dyDescent="0.3">
      <c r="A153" s="252">
        <v>2024</v>
      </c>
      <c r="B153" s="242" t="s">
        <v>1083</v>
      </c>
      <c r="C153" s="242"/>
      <c r="D153" s="242" t="s">
        <v>497</v>
      </c>
      <c r="E153" s="242"/>
      <c r="F153" s="242" t="s">
        <v>686</v>
      </c>
      <c r="G153" s="242" t="s">
        <v>1084</v>
      </c>
      <c r="H153" s="242">
        <v>13.048999999999999</v>
      </c>
      <c r="I153" s="242"/>
      <c r="J153" s="242"/>
      <c r="K153" s="242">
        <v>8.3652000000000004E-2</v>
      </c>
      <c r="L153" s="242">
        <v>8.3652000000000004E-2</v>
      </c>
      <c r="M153" t="s">
        <v>364</v>
      </c>
    </row>
    <row r="154" spans="1:19" ht="27" x14ac:dyDescent="0.3">
      <c r="A154" s="252">
        <v>2024</v>
      </c>
      <c r="B154" s="242" t="s">
        <v>1085</v>
      </c>
      <c r="C154" s="242"/>
      <c r="D154" s="242" t="s">
        <v>497</v>
      </c>
      <c r="E154" s="242"/>
      <c r="F154" s="242" t="s">
        <v>686</v>
      </c>
      <c r="G154" s="242" t="s">
        <v>1084</v>
      </c>
      <c r="H154" s="242">
        <v>14.394</v>
      </c>
      <c r="I154" s="242"/>
      <c r="J154" s="242"/>
      <c r="K154" s="242">
        <v>9.2273999999999995E-2</v>
      </c>
      <c r="L154" s="242">
        <v>9.2273999999999995E-2</v>
      </c>
      <c r="M154" t="s">
        <v>364</v>
      </c>
    </row>
    <row r="155" spans="1:19" ht="27" x14ac:dyDescent="0.3">
      <c r="A155" s="252">
        <v>2024</v>
      </c>
      <c r="B155" s="242" t="s">
        <v>1086</v>
      </c>
      <c r="C155" s="242"/>
      <c r="D155" s="242" t="s">
        <v>497</v>
      </c>
      <c r="E155" s="242"/>
      <c r="F155" s="242" t="s">
        <v>686</v>
      </c>
      <c r="G155" s="242" t="s">
        <v>35</v>
      </c>
      <c r="H155" s="242">
        <v>1020070.67</v>
      </c>
      <c r="I155" s="242"/>
      <c r="J155" s="242"/>
      <c r="K155" s="242">
        <v>-454.43645400000003</v>
      </c>
      <c r="L155" s="242"/>
      <c r="M155" t="s">
        <v>364</v>
      </c>
    </row>
    <row r="156" spans="1:19" ht="27" x14ac:dyDescent="0.3">
      <c r="A156" s="252">
        <v>2024</v>
      </c>
      <c r="B156" s="242" t="s">
        <v>1087</v>
      </c>
      <c r="C156" s="242"/>
      <c r="D156" s="242" t="s">
        <v>497</v>
      </c>
      <c r="E156" s="242"/>
      <c r="F156" s="242" t="s">
        <v>686</v>
      </c>
      <c r="G156" s="242" t="s">
        <v>35</v>
      </c>
      <c r="H156" s="242">
        <v>1020070.67</v>
      </c>
      <c r="I156" s="242"/>
      <c r="J156" s="242"/>
      <c r="K156" s="242">
        <v>454.43645400000003</v>
      </c>
      <c r="L156" s="242">
        <v>295.93688300000002</v>
      </c>
      <c r="M156" t="s">
        <v>364</v>
      </c>
    </row>
    <row r="157" spans="1:19" ht="27" x14ac:dyDescent="0.3">
      <c r="A157" s="252">
        <v>2024</v>
      </c>
      <c r="B157" s="242" t="s">
        <v>1088</v>
      </c>
      <c r="C157" s="242"/>
      <c r="D157" s="242" t="s">
        <v>497</v>
      </c>
      <c r="E157" s="242"/>
      <c r="F157" s="242" t="s">
        <v>686</v>
      </c>
      <c r="G157" s="242" t="s">
        <v>35</v>
      </c>
      <c r="H157" s="242">
        <v>444412.38400000002</v>
      </c>
      <c r="I157" s="242"/>
      <c r="J157" s="242"/>
      <c r="K157" s="242">
        <v>9.1993379999999991</v>
      </c>
      <c r="L157" s="242">
        <v>9.1993379999999991</v>
      </c>
      <c r="M157" t="s">
        <v>364</v>
      </c>
    </row>
    <row r="158" spans="1:19" ht="27" x14ac:dyDescent="0.3">
      <c r="A158" s="252">
        <v>2024</v>
      </c>
      <c r="B158" s="242" t="s">
        <v>1089</v>
      </c>
      <c r="C158" s="242"/>
      <c r="D158" s="242" t="s">
        <v>497</v>
      </c>
      <c r="E158" s="242"/>
      <c r="F158" s="242" t="s">
        <v>686</v>
      </c>
      <c r="G158" s="242" t="s">
        <v>1084</v>
      </c>
      <c r="H158" s="242">
        <v>3.6190000000000002</v>
      </c>
      <c r="I158" s="242"/>
      <c r="J158" s="242"/>
      <c r="K158" s="242">
        <v>3.2252999999999997E-2</v>
      </c>
      <c r="L158" s="242">
        <v>3.2252999999999997E-2</v>
      </c>
      <c r="M158" t="s">
        <v>364</v>
      </c>
    </row>
    <row r="159" spans="1:19" x14ac:dyDescent="0.3">
      <c r="A159" s="252">
        <v>2024</v>
      </c>
      <c r="B159" s="242" t="s">
        <v>1090</v>
      </c>
      <c r="C159" s="242"/>
      <c r="D159" s="242" t="s">
        <v>497</v>
      </c>
      <c r="E159" s="242"/>
      <c r="F159" s="242" t="s">
        <v>686</v>
      </c>
      <c r="G159" s="242" t="s">
        <v>35</v>
      </c>
      <c r="H159" s="242">
        <v>444412.38400000002</v>
      </c>
      <c r="I159" s="242"/>
      <c r="J159" s="242"/>
      <c r="K159" s="242">
        <v>20.931823999999999</v>
      </c>
      <c r="L159" s="242">
        <v>20.931823999999999</v>
      </c>
      <c r="M159" t="s">
        <v>364</v>
      </c>
    </row>
    <row r="160" spans="1:19" x14ac:dyDescent="0.3">
      <c r="A160" s="252">
        <v>2024</v>
      </c>
      <c r="B160" s="242" t="s">
        <v>1091</v>
      </c>
      <c r="C160" s="242"/>
      <c r="D160" s="242" t="s">
        <v>497</v>
      </c>
      <c r="E160" s="242"/>
      <c r="F160" s="242" t="s">
        <v>686</v>
      </c>
      <c r="G160" s="242" t="s">
        <v>35</v>
      </c>
      <c r="H160" s="242">
        <v>492942.72499999998</v>
      </c>
      <c r="I160" s="242"/>
      <c r="J160" s="242"/>
      <c r="K160" s="242">
        <v>15.625546</v>
      </c>
      <c r="L160" s="242">
        <v>15.625546</v>
      </c>
      <c r="M160" t="s">
        <v>364</v>
      </c>
    </row>
    <row r="161" spans="1:13" ht="27" hidden="1" x14ac:dyDescent="0.3">
      <c r="A161" s="252">
        <v>2024</v>
      </c>
      <c r="B161" s="242" t="s">
        <v>1078</v>
      </c>
      <c r="C161" s="242"/>
      <c r="D161" s="242" t="s">
        <v>499</v>
      </c>
      <c r="E161" s="242"/>
      <c r="F161" s="242" t="s">
        <v>1079</v>
      </c>
      <c r="G161" s="242" t="s">
        <v>35</v>
      </c>
      <c r="H161" s="242">
        <v>51483.135000000002</v>
      </c>
      <c r="I161" s="242"/>
      <c r="J161" s="242"/>
      <c r="K161" s="242">
        <v>8.7438459999999996</v>
      </c>
      <c r="L161" s="242">
        <v>8.7438459999999996</v>
      </c>
      <c r="M161" t="s">
        <v>364</v>
      </c>
    </row>
    <row r="162" spans="1:13" ht="27" hidden="1" x14ac:dyDescent="0.3">
      <c r="A162" s="252">
        <v>2024</v>
      </c>
      <c r="B162" s="242" t="s">
        <v>1080</v>
      </c>
      <c r="C162" s="242"/>
      <c r="D162" s="242" t="s">
        <v>499</v>
      </c>
      <c r="E162" s="242"/>
      <c r="F162" s="242" t="s">
        <v>1081</v>
      </c>
      <c r="G162" s="242" t="s">
        <v>35</v>
      </c>
      <c r="H162" s="242">
        <v>180504.39</v>
      </c>
      <c r="I162" s="242"/>
      <c r="J162" s="242"/>
      <c r="K162" s="242">
        <v>80.413815999999997</v>
      </c>
      <c r="L162" s="242">
        <v>52.366867999999997</v>
      </c>
      <c r="M162" t="s">
        <v>364</v>
      </c>
    </row>
    <row r="163" spans="1:13" hidden="1" x14ac:dyDescent="0.3">
      <c r="A163" s="252">
        <v>2024</v>
      </c>
      <c r="B163" s="242" t="s">
        <v>1082</v>
      </c>
      <c r="C163" s="242"/>
      <c r="D163" s="242" t="s">
        <v>499</v>
      </c>
      <c r="E163" s="242"/>
      <c r="F163" s="242" t="s">
        <v>1081</v>
      </c>
      <c r="G163" s="242" t="s">
        <v>35</v>
      </c>
      <c r="H163" s="242">
        <v>180504.39</v>
      </c>
      <c r="I163" s="242"/>
      <c r="J163" s="242"/>
      <c r="K163" s="242">
        <v>-80.413815999999997</v>
      </c>
      <c r="L163" s="242"/>
      <c r="M163" t="s">
        <v>364</v>
      </c>
    </row>
    <row r="164" spans="1:13" ht="27" x14ac:dyDescent="0.3">
      <c r="A164" s="252">
        <v>2024</v>
      </c>
      <c r="B164" s="242" t="s">
        <v>1085</v>
      </c>
      <c r="C164" s="242"/>
      <c r="D164" s="242" t="s">
        <v>499</v>
      </c>
      <c r="E164" s="242"/>
      <c r="F164" s="242" t="s">
        <v>686</v>
      </c>
      <c r="G164" s="242" t="s">
        <v>1084</v>
      </c>
      <c r="H164" s="242">
        <v>3.2490000000000001</v>
      </c>
      <c r="I164" s="242"/>
      <c r="J164" s="242"/>
      <c r="K164" s="242">
        <v>2.0827999999999999E-2</v>
      </c>
      <c r="L164" s="242">
        <v>2.0827999999999999E-2</v>
      </c>
      <c r="M164" t="s">
        <v>364</v>
      </c>
    </row>
    <row r="165" spans="1:13" ht="27" x14ac:dyDescent="0.3">
      <c r="A165" s="252">
        <v>2024</v>
      </c>
      <c r="B165" s="242" t="s">
        <v>1086</v>
      </c>
      <c r="C165" s="242"/>
      <c r="D165" s="242" t="s">
        <v>499</v>
      </c>
      <c r="E165" s="242"/>
      <c r="F165" s="242" t="s">
        <v>686</v>
      </c>
      <c r="G165" s="242" t="s">
        <v>35</v>
      </c>
      <c r="H165" s="253">
        <v>326516</v>
      </c>
      <c r="I165" s="242"/>
      <c r="J165" s="242"/>
      <c r="K165" s="242">
        <v>-145.46126899999999</v>
      </c>
      <c r="L165" s="242"/>
      <c r="M165" t="s">
        <v>364</v>
      </c>
    </row>
    <row r="166" spans="1:13" x14ac:dyDescent="0.3">
      <c r="A166" s="252">
        <v>2024</v>
      </c>
      <c r="B166" s="242" t="s">
        <v>1090</v>
      </c>
      <c r="C166" s="242"/>
      <c r="D166" s="242" t="s">
        <v>499</v>
      </c>
      <c r="E166" s="242"/>
      <c r="F166" s="242" t="s">
        <v>686</v>
      </c>
      <c r="G166" s="242" t="s">
        <v>35</v>
      </c>
      <c r="H166" s="253">
        <v>180504.39</v>
      </c>
      <c r="I166" s="242"/>
      <c r="J166" s="242"/>
      <c r="K166" s="242">
        <v>8.5017560000000003</v>
      </c>
      <c r="L166" s="242">
        <v>8.5017560000000003</v>
      </c>
      <c r="M166" t="s">
        <v>364</v>
      </c>
    </row>
    <row r="167" spans="1:13" x14ac:dyDescent="0.3">
      <c r="A167" s="252">
        <v>2024</v>
      </c>
      <c r="B167" s="242" t="s">
        <v>1091</v>
      </c>
      <c r="C167" s="242"/>
      <c r="D167" s="242" t="s">
        <v>499</v>
      </c>
      <c r="E167" s="242"/>
      <c r="F167" s="242" t="s">
        <v>686</v>
      </c>
      <c r="G167" s="242" t="s">
        <v>35</v>
      </c>
      <c r="H167" s="242">
        <v>52345.425000000003</v>
      </c>
      <c r="I167" s="242"/>
      <c r="J167" s="242"/>
      <c r="K167" s="242">
        <v>1.6592720000000001</v>
      </c>
      <c r="L167" s="242">
        <v>1.6592720000000001</v>
      </c>
      <c r="M167" t="s">
        <v>364</v>
      </c>
    </row>
    <row r="168" spans="1:13" ht="27" x14ac:dyDescent="0.3">
      <c r="A168" s="252">
        <v>2024</v>
      </c>
      <c r="B168" s="242" t="s">
        <v>1087</v>
      </c>
      <c r="C168" s="242"/>
      <c r="D168" s="242" t="s">
        <v>499</v>
      </c>
      <c r="E168" s="242"/>
      <c r="F168" s="242" t="s">
        <v>686</v>
      </c>
      <c r="G168" s="242" t="s">
        <v>35</v>
      </c>
      <c r="H168" s="242">
        <v>489716</v>
      </c>
      <c r="I168" s="242"/>
      <c r="J168" s="242"/>
      <c r="K168" s="242">
        <v>218.16606300000001</v>
      </c>
      <c r="L168" s="242">
        <v>142.073519</v>
      </c>
      <c r="M168" t="s">
        <v>364</v>
      </c>
    </row>
    <row r="169" spans="1:13" ht="27" x14ac:dyDescent="0.3">
      <c r="A169" s="252">
        <v>2024</v>
      </c>
      <c r="B169" s="242" t="s">
        <v>1088</v>
      </c>
      <c r="C169" s="242"/>
      <c r="D169" s="242" t="s">
        <v>499</v>
      </c>
      <c r="E169" s="242"/>
      <c r="F169" s="242" t="s">
        <v>686</v>
      </c>
      <c r="G169" s="242" t="s">
        <v>35</v>
      </c>
      <c r="H169" s="242">
        <v>180504.39</v>
      </c>
      <c r="I169" s="242"/>
      <c r="J169" s="242"/>
      <c r="K169" s="242">
        <v>3.7364419999999998</v>
      </c>
      <c r="L169" s="242">
        <v>3.7364419999999998</v>
      </c>
      <c r="M169" t="s">
        <v>364</v>
      </c>
    </row>
    <row r="170" spans="1:13" ht="27" x14ac:dyDescent="0.3">
      <c r="A170" s="252">
        <v>2024</v>
      </c>
      <c r="B170" s="242" t="s">
        <v>1089</v>
      </c>
      <c r="C170" s="242"/>
      <c r="D170" s="242" t="s">
        <v>499</v>
      </c>
      <c r="E170" s="242"/>
      <c r="F170" s="242" t="s">
        <v>686</v>
      </c>
      <c r="G170" s="242" t="s">
        <v>1084</v>
      </c>
      <c r="H170" s="242">
        <v>3.0950000000000002</v>
      </c>
      <c r="I170" s="242"/>
      <c r="J170" s="242"/>
      <c r="K170" s="242">
        <v>2.7584999999999998E-2</v>
      </c>
      <c r="L170" s="242">
        <v>2.7584999999999998E-2</v>
      </c>
      <c r="M170" t="s">
        <v>364</v>
      </c>
    </row>
    <row r="171" spans="1:13" ht="27" x14ac:dyDescent="0.3">
      <c r="A171" s="252">
        <v>2024</v>
      </c>
      <c r="B171" s="242" t="s">
        <v>1083</v>
      </c>
      <c r="C171" s="242"/>
      <c r="D171" s="242" t="s">
        <v>499</v>
      </c>
      <c r="E171" s="242"/>
      <c r="F171" s="242" t="s">
        <v>686</v>
      </c>
      <c r="G171" s="242" t="s">
        <v>1084</v>
      </c>
      <c r="H171" s="242">
        <v>2.5619999999999998</v>
      </c>
      <c r="I171" s="242"/>
      <c r="J171" s="242"/>
      <c r="K171" s="242">
        <v>1.6424000000000001E-2</v>
      </c>
      <c r="L171" s="242">
        <v>1.6424000000000001E-2</v>
      </c>
      <c r="M171" t="s">
        <v>364</v>
      </c>
    </row>
    <row r="172" spans="1:13" ht="27" x14ac:dyDescent="0.3">
      <c r="A172" s="296">
        <v>2024</v>
      </c>
      <c r="B172" s="297" t="s">
        <v>1092</v>
      </c>
      <c r="C172" s="297"/>
      <c r="D172" s="297" t="s">
        <v>840</v>
      </c>
      <c r="E172" s="297"/>
      <c r="F172" s="297" t="s">
        <v>686</v>
      </c>
      <c r="G172" s="297" t="s">
        <v>35</v>
      </c>
      <c r="H172" s="297">
        <v>54144.072</v>
      </c>
      <c r="I172" s="297"/>
      <c r="J172" s="297"/>
      <c r="K172" s="297">
        <v>24.120912000000001</v>
      </c>
      <c r="L172" s="297">
        <v>15.707952000000001</v>
      </c>
      <c r="M172" s="298" t="s">
        <v>505</v>
      </c>
    </row>
    <row r="173" spans="1:13" ht="27" x14ac:dyDescent="0.3">
      <c r="A173" s="296">
        <v>2024</v>
      </c>
      <c r="B173" s="297" t="s">
        <v>1093</v>
      </c>
      <c r="C173" s="297"/>
      <c r="D173" s="297" t="s">
        <v>840</v>
      </c>
      <c r="E173" s="297"/>
      <c r="F173" s="297" t="s">
        <v>686</v>
      </c>
      <c r="G173" s="297" t="s">
        <v>35</v>
      </c>
      <c r="H173" s="297">
        <v>36066.923999999999</v>
      </c>
      <c r="I173" s="297"/>
      <c r="J173" s="297"/>
      <c r="K173" s="297">
        <v>6.1255559999999996</v>
      </c>
      <c r="L173" s="297">
        <v>6.1255559999999996</v>
      </c>
      <c r="M173" s="298" t="s">
        <v>505</v>
      </c>
    </row>
    <row r="174" spans="1:13" ht="27" x14ac:dyDescent="0.3">
      <c r="A174" s="296">
        <v>2024</v>
      </c>
      <c r="B174" s="297" t="s">
        <v>1085</v>
      </c>
      <c r="C174" s="297"/>
      <c r="D174" s="297" t="s">
        <v>840</v>
      </c>
      <c r="E174" s="297"/>
      <c r="F174" s="297" t="s">
        <v>686</v>
      </c>
      <c r="G174" s="297" t="s">
        <v>1084</v>
      </c>
      <c r="H174" s="297">
        <v>0.36</v>
      </c>
      <c r="I174" s="297"/>
      <c r="J174" s="297"/>
      <c r="K174" s="297">
        <v>2.3040000000000001E-3</v>
      </c>
      <c r="L174" s="297">
        <v>2.3040000000000001E-3</v>
      </c>
      <c r="M174" s="298" t="s">
        <v>505</v>
      </c>
    </row>
    <row r="175" spans="1:13" ht="27" hidden="1" x14ac:dyDescent="0.3">
      <c r="A175" s="252">
        <v>2024</v>
      </c>
      <c r="B175" s="242" t="s">
        <v>1078</v>
      </c>
      <c r="C175" s="242"/>
      <c r="D175" s="242" t="s">
        <v>463</v>
      </c>
      <c r="E175" s="242"/>
      <c r="F175" s="242" t="s">
        <v>1079</v>
      </c>
      <c r="G175" s="242" t="s">
        <v>35</v>
      </c>
      <c r="H175" s="242">
        <v>51007.77</v>
      </c>
      <c r="I175" s="242"/>
      <c r="J175" s="242"/>
      <c r="K175" s="242">
        <v>8.6631110000000007</v>
      </c>
      <c r="L175" s="242">
        <v>8.6631110000000007</v>
      </c>
      <c r="M175" t="s">
        <v>364</v>
      </c>
    </row>
    <row r="176" spans="1:13" ht="27" hidden="1" x14ac:dyDescent="0.3">
      <c r="A176" s="252">
        <v>2024</v>
      </c>
      <c r="B176" s="242" t="s">
        <v>1080</v>
      </c>
      <c r="C176" s="242"/>
      <c r="D176" s="242" t="s">
        <v>463</v>
      </c>
      <c r="E176" s="242"/>
      <c r="F176" s="242" t="s">
        <v>1081</v>
      </c>
      <c r="G176" s="242" t="s">
        <v>35</v>
      </c>
      <c r="H176" s="242">
        <v>12428.602000000001</v>
      </c>
      <c r="I176" s="242"/>
      <c r="J176" s="242"/>
      <c r="K176" s="242">
        <v>5.53688</v>
      </c>
      <c r="L176" s="242">
        <v>3.6057139999999999</v>
      </c>
      <c r="M176" t="s">
        <v>364</v>
      </c>
    </row>
    <row r="177" spans="1:13" hidden="1" x14ac:dyDescent="0.3">
      <c r="A177" s="252">
        <v>2024</v>
      </c>
      <c r="B177" s="242" t="s">
        <v>1082</v>
      </c>
      <c r="C177" s="242"/>
      <c r="D177" s="242" t="s">
        <v>463</v>
      </c>
      <c r="E177" s="242"/>
      <c r="F177" s="242" t="s">
        <v>1081</v>
      </c>
      <c r="G177" s="242" t="s">
        <v>35</v>
      </c>
      <c r="H177" s="253">
        <v>12428.602000000001</v>
      </c>
      <c r="I177" s="242"/>
      <c r="J177" s="242"/>
      <c r="K177" s="242">
        <v>-5.53688</v>
      </c>
      <c r="L177" s="242"/>
      <c r="M177" t="s">
        <v>364</v>
      </c>
    </row>
    <row r="178" spans="1:13" ht="27" x14ac:dyDescent="0.3">
      <c r="A178" s="252">
        <v>2024</v>
      </c>
      <c r="B178" s="242" t="s">
        <v>1086</v>
      </c>
      <c r="C178" s="242"/>
      <c r="D178" s="242" t="s">
        <v>463</v>
      </c>
      <c r="E178" s="242"/>
      <c r="F178" s="242" t="s">
        <v>686</v>
      </c>
      <c r="G178" s="242" t="s">
        <v>35</v>
      </c>
      <c r="H178" s="253">
        <v>5445.5039999999999</v>
      </c>
      <c r="I178" s="242"/>
      <c r="J178" s="242"/>
      <c r="K178" s="242">
        <v>-2.4259430000000002</v>
      </c>
      <c r="L178" s="242"/>
      <c r="M178" t="s">
        <v>364</v>
      </c>
    </row>
    <row r="179" spans="1:13" x14ac:dyDescent="0.3">
      <c r="A179" s="252">
        <v>2024</v>
      </c>
      <c r="B179" s="242" t="s">
        <v>1090</v>
      </c>
      <c r="C179" s="242"/>
      <c r="D179" s="242" t="s">
        <v>463</v>
      </c>
      <c r="E179" s="242"/>
      <c r="F179" s="242" t="s">
        <v>686</v>
      </c>
      <c r="G179" s="242" t="s">
        <v>35</v>
      </c>
      <c r="H179" s="242">
        <v>12428.602000000001</v>
      </c>
      <c r="I179" s="242"/>
      <c r="J179" s="242"/>
      <c r="K179" s="242">
        <v>0.58538800000000002</v>
      </c>
      <c r="L179" s="242">
        <v>0.58538800000000002</v>
      </c>
      <c r="M179" t="s">
        <v>364</v>
      </c>
    </row>
    <row r="180" spans="1:13" x14ac:dyDescent="0.3">
      <c r="A180" s="252">
        <v>2024</v>
      </c>
      <c r="B180" s="242" t="s">
        <v>1091</v>
      </c>
      <c r="C180" s="242"/>
      <c r="D180" s="242" t="s">
        <v>463</v>
      </c>
      <c r="E180" s="242"/>
      <c r="F180" s="242" t="s">
        <v>686</v>
      </c>
      <c r="G180" s="242" t="s">
        <v>35</v>
      </c>
      <c r="H180" s="242">
        <v>49393.74</v>
      </c>
      <c r="I180" s="242"/>
      <c r="J180" s="242"/>
      <c r="K180" s="242">
        <v>1.5657080000000001</v>
      </c>
      <c r="L180" s="242">
        <v>1.5657080000000001</v>
      </c>
      <c r="M180" t="s">
        <v>364</v>
      </c>
    </row>
    <row r="181" spans="1:13" ht="27" x14ac:dyDescent="0.3">
      <c r="A181" s="252">
        <v>2024</v>
      </c>
      <c r="B181" s="242" t="s">
        <v>1088</v>
      </c>
      <c r="C181" s="242"/>
      <c r="D181" s="242" t="s">
        <v>463</v>
      </c>
      <c r="E181" s="242"/>
      <c r="F181" s="242" t="s">
        <v>686</v>
      </c>
      <c r="G181" s="242" t="s">
        <v>35</v>
      </c>
      <c r="H181" s="242">
        <v>12428.602000000001</v>
      </c>
      <c r="I181" s="242"/>
      <c r="J181" s="242"/>
      <c r="K181" s="242">
        <v>0.257272</v>
      </c>
      <c r="L181" s="242">
        <v>0.257272</v>
      </c>
      <c r="M181" t="s">
        <v>364</v>
      </c>
    </row>
    <row r="182" spans="1:13" ht="27" x14ac:dyDescent="0.3">
      <c r="A182" s="296">
        <v>2024</v>
      </c>
      <c r="B182" s="297" t="s">
        <v>1089</v>
      </c>
      <c r="C182" s="297"/>
      <c r="D182" s="297" t="s">
        <v>463</v>
      </c>
      <c r="E182" s="297"/>
      <c r="F182" s="297" t="s">
        <v>686</v>
      </c>
      <c r="G182" s="297" t="s">
        <v>1084</v>
      </c>
      <c r="H182" s="297">
        <v>8.4000000000000005E-2</v>
      </c>
      <c r="I182" s="297"/>
      <c r="J182" s="297"/>
      <c r="K182" s="297">
        <v>7.4399999999999998E-4</v>
      </c>
      <c r="L182" s="297">
        <v>7.4399999999999998E-4</v>
      </c>
      <c r="M182" s="298" t="s">
        <v>505</v>
      </c>
    </row>
    <row r="183" spans="1:13" ht="27" x14ac:dyDescent="0.3">
      <c r="A183" s="296">
        <v>2024</v>
      </c>
      <c r="B183" s="297" t="s">
        <v>1083</v>
      </c>
      <c r="C183" s="297"/>
      <c r="D183" s="297" t="s">
        <v>463</v>
      </c>
      <c r="E183" s="297"/>
      <c r="F183" s="297" t="s">
        <v>686</v>
      </c>
      <c r="G183" s="297" t="s">
        <v>1084</v>
      </c>
      <c r="H183" s="297">
        <v>0.3</v>
      </c>
      <c r="I183" s="297"/>
      <c r="J183" s="297"/>
      <c r="K183" s="297">
        <v>1.92E-3</v>
      </c>
      <c r="L183" s="297">
        <v>1.92E-3</v>
      </c>
      <c r="M183" s="298" t="s">
        <v>505</v>
      </c>
    </row>
    <row r="184" spans="1:13" ht="27" x14ac:dyDescent="0.3">
      <c r="A184" s="296">
        <v>2024</v>
      </c>
      <c r="B184" s="297" t="s">
        <v>1085</v>
      </c>
      <c r="C184" s="297"/>
      <c r="D184" s="297" t="s">
        <v>463</v>
      </c>
      <c r="E184" s="297"/>
      <c r="F184" s="297" t="s">
        <v>686</v>
      </c>
      <c r="G184" s="297" t="s">
        <v>1084</v>
      </c>
      <c r="H184" s="297">
        <v>0.22800000000000001</v>
      </c>
      <c r="I184" s="297"/>
      <c r="J184" s="297"/>
      <c r="K184" s="297">
        <v>1.464E-3</v>
      </c>
      <c r="L184" s="297">
        <v>1.464E-3</v>
      </c>
      <c r="M184" s="298" t="s">
        <v>505</v>
      </c>
    </row>
    <row r="185" spans="1:13" ht="27" x14ac:dyDescent="0.3">
      <c r="A185" s="252">
        <v>2024</v>
      </c>
      <c r="B185" s="242" t="s">
        <v>1087</v>
      </c>
      <c r="C185" s="242"/>
      <c r="D185" s="242" t="s">
        <v>463</v>
      </c>
      <c r="E185" s="242"/>
      <c r="F185" s="242" t="s">
        <v>686</v>
      </c>
      <c r="G185" s="242" t="s">
        <v>35</v>
      </c>
      <c r="H185" s="242">
        <v>5445.5039999999999</v>
      </c>
      <c r="I185" s="242"/>
      <c r="J185" s="242"/>
      <c r="K185" s="242">
        <v>2.4259430000000002</v>
      </c>
      <c r="L185" s="242">
        <v>1.579817</v>
      </c>
      <c r="M185" t="s">
        <v>364</v>
      </c>
    </row>
    <row r="186" spans="1:13" ht="27" x14ac:dyDescent="0.3">
      <c r="A186" s="296">
        <v>2024</v>
      </c>
      <c r="B186" s="297" t="s">
        <v>1093</v>
      </c>
      <c r="C186" s="297"/>
      <c r="D186" s="297" t="s">
        <v>517</v>
      </c>
      <c r="E186" s="297"/>
      <c r="F186" s="297" t="s">
        <v>686</v>
      </c>
      <c r="G186" s="297" t="s">
        <v>35</v>
      </c>
      <c r="H186" s="297">
        <v>105144</v>
      </c>
      <c r="I186" s="297"/>
      <c r="J186" s="297"/>
      <c r="K186" s="297">
        <v>17.857524000000002</v>
      </c>
      <c r="L186" s="297">
        <v>17.857524000000002</v>
      </c>
      <c r="M186" s="298" t="s">
        <v>505</v>
      </c>
    </row>
    <row r="187" spans="1:13" ht="27" x14ac:dyDescent="0.3">
      <c r="A187" s="296">
        <v>2024</v>
      </c>
      <c r="B187" s="297" t="s">
        <v>1089</v>
      </c>
      <c r="C187" s="297"/>
      <c r="D187" s="297" t="s">
        <v>517</v>
      </c>
      <c r="E187" s="297"/>
      <c r="F187" s="297" t="s">
        <v>686</v>
      </c>
      <c r="G187" s="297" t="s">
        <v>1084</v>
      </c>
      <c r="H187" s="297">
        <v>0.49199999999999999</v>
      </c>
      <c r="I187" s="297"/>
      <c r="J187" s="297"/>
      <c r="K187" s="297">
        <v>4.3800000000000002E-3</v>
      </c>
      <c r="L187" s="297">
        <v>4.3800000000000002E-3</v>
      </c>
      <c r="M187" s="298" t="s">
        <v>505</v>
      </c>
    </row>
    <row r="188" spans="1:13" ht="27" x14ac:dyDescent="0.3">
      <c r="A188" s="296">
        <v>2024</v>
      </c>
      <c r="B188" s="297" t="s">
        <v>1083</v>
      </c>
      <c r="C188" s="297"/>
      <c r="D188" s="297" t="s">
        <v>517</v>
      </c>
      <c r="E188" s="297"/>
      <c r="F188" s="297" t="s">
        <v>686</v>
      </c>
      <c r="G188" s="297" t="s">
        <v>1084</v>
      </c>
      <c r="H188" s="297">
        <v>2.52</v>
      </c>
      <c r="I188" s="297"/>
      <c r="J188" s="297"/>
      <c r="K188" s="297">
        <v>1.6152E-2</v>
      </c>
      <c r="L188" s="297">
        <v>1.6152E-2</v>
      </c>
      <c r="M188" s="298" t="s">
        <v>505</v>
      </c>
    </row>
    <row r="189" spans="1:13" ht="27" x14ac:dyDescent="0.3">
      <c r="A189" s="296">
        <v>2024</v>
      </c>
      <c r="B189" s="297" t="s">
        <v>1085</v>
      </c>
      <c r="C189" s="297"/>
      <c r="D189" s="297" t="s">
        <v>517</v>
      </c>
      <c r="E189" s="297"/>
      <c r="F189" s="297" t="s">
        <v>686</v>
      </c>
      <c r="G189" s="297" t="s">
        <v>1084</v>
      </c>
      <c r="H189" s="297">
        <v>3.2519999999999998</v>
      </c>
      <c r="I189" s="297"/>
      <c r="J189" s="297"/>
      <c r="K189" s="297">
        <v>2.0844000000000001E-2</v>
      </c>
      <c r="L189" s="297">
        <v>2.0844000000000001E-2</v>
      </c>
      <c r="M189" s="298" t="s">
        <v>505</v>
      </c>
    </row>
    <row r="190" spans="1:13" ht="27" x14ac:dyDescent="0.3">
      <c r="A190" s="296">
        <v>2024</v>
      </c>
      <c r="B190" s="297" t="s">
        <v>1092</v>
      </c>
      <c r="C190" s="297"/>
      <c r="D190" s="297" t="s">
        <v>517</v>
      </c>
      <c r="E190" s="297"/>
      <c r="F190" s="297" t="s">
        <v>686</v>
      </c>
      <c r="G190" s="297" t="s">
        <v>35</v>
      </c>
      <c r="H190" s="297">
        <v>165531.93599999999</v>
      </c>
      <c r="I190" s="297"/>
      <c r="J190" s="297"/>
      <c r="K190" s="297">
        <v>73.743660000000006</v>
      </c>
      <c r="L190" s="297">
        <v>48.023147999999999</v>
      </c>
      <c r="M190" s="298" t="s">
        <v>505</v>
      </c>
    </row>
    <row r="191" spans="1:13" ht="27" hidden="1" x14ac:dyDescent="0.3">
      <c r="A191" s="252">
        <v>2024</v>
      </c>
      <c r="B191" s="242" t="s">
        <v>1078</v>
      </c>
      <c r="C191" s="242"/>
      <c r="D191" s="242" t="s">
        <v>460</v>
      </c>
      <c r="E191" s="242"/>
      <c r="F191" s="242" t="s">
        <v>1079</v>
      </c>
      <c r="G191" s="242" t="s">
        <v>35</v>
      </c>
      <c r="H191" s="242">
        <v>265231.56</v>
      </c>
      <c r="I191" s="242"/>
      <c r="J191" s="242"/>
      <c r="K191" s="242">
        <v>45.046669999999999</v>
      </c>
      <c r="L191" s="242">
        <v>45.046669999999999</v>
      </c>
      <c r="M191" t="s">
        <v>1594</v>
      </c>
    </row>
    <row r="192" spans="1:13" ht="27" hidden="1" x14ac:dyDescent="0.3">
      <c r="A192" s="252">
        <v>2024</v>
      </c>
      <c r="B192" s="242" t="s">
        <v>1080</v>
      </c>
      <c r="C192" s="242"/>
      <c r="D192" s="242" t="s">
        <v>460</v>
      </c>
      <c r="E192" s="242"/>
      <c r="F192" s="242" t="s">
        <v>1081</v>
      </c>
      <c r="G192" s="242" t="s">
        <v>35</v>
      </c>
      <c r="H192" s="242">
        <v>152098.79999999999</v>
      </c>
      <c r="I192" s="242"/>
      <c r="J192" s="242"/>
      <c r="K192" s="242">
        <v>67.759266999999994</v>
      </c>
      <c r="L192" s="242">
        <v>44.126004999999999</v>
      </c>
      <c r="M192" t="s">
        <v>1594</v>
      </c>
    </row>
    <row r="193" spans="1:13" hidden="1" x14ac:dyDescent="0.3">
      <c r="A193" s="252">
        <v>2024</v>
      </c>
      <c r="B193" s="242" t="s">
        <v>1082</v>
      </c>
      <c r="C193" s="242"/>
      <c r="D193" s="242" t="s">
        <v>460</v>
      </c>
      <c r="E193" s="242"/>
      <c r="F193" s="242" t="s">
        <v>1081</v>
      </c>
      <c r="G193" s="242" t="s">
        <v>35</v>
      </c>
      <c r="H193" s="242">
        <v>152098.79999999999</v>
      </c>
      <c r="I193" s="242"/>
      <c r="J193" s="242"/>
      <c r="K193" s="242">
        <v>-67.759266999999994</v>
      </c>
      <c r="L193" s="242"/>
      <c r="M193" t="s">
        <v>1594</v>
      </c>
    </row>
    <row r="194" spans="1:13" x14ac:dyDescent="0.3">
      <c r="A194" s="252">
        <v>2024</v>
      </c>
      <c r="B194" s="242" t="s">
        <v>1091</v>
      </c>
      <c r="C194" s="242"/>
      <c r="D194" s="242" t="s">
        <v>460</v>
      </c>
      <c r="E194" s="242"/>
      <c r="F194" s="242" t="s">
        <v>686</v>
      </c>
      <c r="G194" s="242" t="s">
        <v>35</v>
      </c>
      <c r="H194" s="253">
        <v>262744.185</v>
      </c>
      <c r="I194" s="242"/>
      <c r="J194" s="242"/>
      <c r="K194" s="242">
        <v>8.3285959999999992</v>
      </c>
      <c r="L194" s="242">
        <v>8.3285959999999992</v>
      </c>
      <c r="M194" t="s">
        <v>1594</v>
      </c>
    </row>
    <row r="195" spans="1:13" ht="27" x14ac:dyDescent="0.3">
      <c r="A195" s="252">
        <v>2024</v>
      </c>
      <c r="B195" s="242" t="s">
        <v>1087</v>
      </c>
      <c r="C195" s="242"/>
      <c r="D195" s="242" t="s">
        <v>460</v>
      </c>
      <c r="E195" s="242"/>
      <c r="F195" s="242" t="s">
        <v>686</v>
      </c>
      <c r="G195" s="242" t="s">
        <v>35</v>
      </c>
      <c r="H195" s="253">
        <v>300700.73499999999</v>
      </c>
      <c r="I195" s="242"/>
      <c r="J195" s="242"/>
      <c r="K195" s="242">
        <v>133.96069600000001</v>
      </c>
      <c r="L195" s="242">
        <v>87.237521999999998</v>
      </c>
      <c r="M195" t="s">
        <v>1594</v>
      </c>
    </row>
    <row r="196" spans="1:13" ht="27" x14ac:dyDescent="0.3">
      <c r="A196" s="252">
        <v>2024</v>
      </c>
      <c r="B196" s="242" t="s">
        <v>1088</v>
      </c>
      <c r="C196" s="242"/>
      <c r="D196" s="242" t="s">
        <v>460</v>
      </c>
      <c r="E196" s="242"/>
      <c r="F196" s="242" t="s">
        <v>686</v>
      </c>
      <c r="G196" s="242" t="s">
        <v>35</v>
      </c>
      <c r="H196" s="242">
        <v>152098.79999999999</v>
      </c>
      <c r="I196" s="242"/>
      <c r="J196" s="242"/>
      <c r="K196" s="242">
        <v>3.148444</v>
      </c>
      <c r="L196" s="242">
        <v>3.148444</v>
      </c>
      <c r="M196" t="s">
        <v>1594</v>
      </c>
    </row>
    <row r="197" spans="1:13" ht="27" x14ac:dyDescent="0.3">
      <c r="A197" s="252">
        <v>2024</v>
      </c>
      <c r="B197" s="242" t="s">
        <v>1089</v>
      </c>
      <c r="C197" s="242"/>
      <c r="D197" s="242" t="s">
        <v>460</v>
      </c>
      <c r="E197" s="242"/>
      <c r="F197" s="242" t="s">
        <v>686</v>
      </c>
      <c r="G197" s="242" t="s">
        <v>1084</v>
      </c>
      <c r="H197" s="242">
        <v>1.819</v>
      </c>
      <c r="I197" s="242"/>
      <c r="J197" s="242"/>
      <c r="K197" s="242">
        <v>1.6209999999999999E-2</v>
      </c>
      <c r="L197" s="242">
        <v>1.6209999999999999E-2</v>
      </c>
      <c r="M197" t="s">
        <v>1594</v>
      </c>
    </row>
    <row r="198" spans="1:13" ht="27" x14ac:dyDescent="0.3">
      <c r="A198" s="252">
        <v>2024</v>
      </c>
      <c r="B198" s="242" t="s">
        <v>1083</v>
      </c>
      <c r="C198" s="242"/>
      <c r="D198" s="242" t="s">
        <v>460</v>
      </c>
      <c r="E198" s="242"/>
      <c r="F198" s="242" t="s">
        <v>686</v>
      </c>
      <c r="G198" s="242" t="s">
        <v>1084</v>
      </c>
      <c r="H198" s="242">
        <v>4.8049999999999997</v>
      </c>
      <c r="I198" s="242"/>
      <c r="J198" s="242"/>
      <c r="K198" s="242">
        <v>3.0803000000000001E-2</v>
      </c>
      <c r="L198" s="242">
        <v>3.0803000000000001E-2</v>
      </c>
      <c r="M198" t="s">
        <v>1594</v>
      </c>
    </row>
    <row r="199" spans="1:13" ht="27" x14ac:dyDescent="0.3">
      <c r="A199" s="252">
        <v>2024</v>
      </c>
      <c r="B199" s="242" t="s">
        <v>1085</v>
      </c>
      <c r="C199" s="242"/>
      <c r="D199" s="242" t="s">
        <v>460</v>
      </c>
      <c r="E199" s="242"/>
      <c r="F199" s="242" t="s">
        <v>686</v>
      </c>
      <c r="G199" s="242" t="s">
        <v>1084</v>
      </c>
      <c r="H199" s="242">
        <v>3.6539999999999999</v>
      </c>
      <c r="I199" s="242"/>
      <c r="J199" s="242"/>
      <c r="K199" s="242">
        <v>2.3424E-2</v>
      </c>
      <c r="L199" s="242">
        <v>2.3424E-2</v>
      </c>
      <c r="M199" t="s">
        <v>1594</v>
      </c>
    </row>
    <row r="200" spans="1:13" ht="27" x14ac:dyDescent="0.3">
      <c r="A200" s="252">
        <v>2024</v>
      </c>
      <c r="B200" s="242" t="s">
        <v>1086</v>
      </c>
      <c r="C200" s="242"/>
      <c r="D200" s="242" t="s">
        <v>460</v>
      </c>
      <c r="E200" s="242"/>
      <c r="F200" s="242" t="s">
        <v>686</v>
      </c>
      <c r="G200" s="242" t="s">
        <v>35</v>
      </c>
      <c r="H200" s="253">
        <v>56838.735999999997</v>
      </c>
      <c r="I200" s="242"/>
      <c r="J200" s="242"/>
      <c r="K200" s="242">
        <v>-25.321376999999998</v>
      </c>
      <c r="L200" s="242"/>
      <c r="M200" t="s">
        <v>1594</v>
      </c>
    </row>
    <row r="201" spans="1:13" x14ac:dyDescent="0.3">
      <c r="A201" s="252">
        <v>2024</v>
      </c>
      <c r="B201" s="242" t="s">
        <v>1090</v>
      </c>
      <c r="C201" s="242"/>
      <c r="D201" s="242" t="s">
        <v>460</v>
      </c>
      <c r="E201" s="242"/>
      <c r="F201" s="242" t="s">
        <v>686</v>
      </c>
      <c r="G201" s="242" t="s">
        <v>35</v>
      </c>
      <c r="H201" s="242">
        <v>152098.79999999999</v>
      </c>
      <c r="I201" s="242"/>
      <c r="J201" s="242"/>
      <c r="K201" s="242">
        <v>7.1638549999999999</v>
      </c>
      <c r="L201" s="242">
        <v>7.1638549999999999</v>
      </c>
      <c r="M201" t="s">
        <v>1594</v>
      </c>
    </row>
    <row r="202" spans="1:13" ht="27" hidden="1" x14ac:dyDescent="0.3">
      <c r="A202" s="252">
        <v>2024</v>
      </c>
      <c r="B202" s="242" t="s">
        <v>1078</v>
      </c>
      <c r="C202" s="242"/>
      <c r="D202" s="242" t="s">
        <v>1094</v>
      </c>
      <c r="E202" s="242"/>
      <c r="F202" s="242" t="s">
        <v>1079</v>
      </c>
      <c r="G202" s="242" t="s">
        <v>35</v>
      </c>
      <c r="H202" s="242">
        <v>494235.88500000001</v>
      </c>
      <c r="I202" s="242"/>
      <c r="J202" s="242"/>
      <c r="K202" s="242">
        <v>83.940545</v>
      </c>
      <c r="L202" s="242">
        <v>83.940545</v>
      </c>
      <c r="M202" t="s">
        <v>1594</v>
      </c>
    </row>
    <row r="203" spans="1:13" ht="27" hidden="1" x14ac:dyDescent="0.3">
      <c r="A203" s="252">
        <v>2024</v>
      </c>
      <c r="B203" s="242" t="s">
        <v>1080</v>
      </c>
      <c r="C203" s="242"/>
      <c r="D203" s="242" t="s">
        <v>1094</v>
      </c>
      <c r="E203" s="242"/>
      <c r="F203" s="242" t="s">
        <v>1081</v>
      </c>
      <c r="G203" s="242" t="s">
        <v>35</v>
      </c>
      <c r="H203" s="242">
        <v>228275.929</v>
      </c>
      <c r="I203" s="242"/>
      <c r="J203" s="242"/>
      <c r="K203" s="242">
        <v>101.695801</v>
      </c>
      <c r="L203" s="242">
        <v>66.226066000000003</v>
      </c>
      <c r="M203" t="s">
        <v>1594</v>
      </c>
    </row>
    <row r="204" spans="1:13" hidden="1" x14ac:dyDescent="0.3">
      <c r="A204" s="252">
        <v>2024</v>
      </c>
      <c r="B204" s="242" t="s">
        <v>1082</v>
      </c>
      <c r="C204" s="242"/>
      <c r="D204" s="242" t="s">
        <v>1094</v>
      </c>
      <c r="E204" s="242"/>
      <c r="F204" s="242" t="s">
        <v>1081</v>
      </c>
      <c r="G204" s="242" t="s">
        <v>35</v>
      </c>
      <c r="H204" s="242">
        <v>228275.929</v>
      </c>
      <c r="I204" s="242"/>
      <c r="J204" s="242"/>
      <c r="K204" s="242">
        <v>-101.695801</v>
      </c>
      <c r="L204" s="242"/>
      <c r="M204" t="s">
        <v>1594</v>
      </c>
    </row>
    <row r="205" spans="1:13" x14ac:dyDescent="0.3">
      <c r="A205" s="252">
        <v>2024</v>
      </c>
      <c r="B205" s="242" t="s">
        <v>1091</v>
      </c>
      <c r="C205" s="242"/>
      <c r="D205" s="242" t="s">
        <v>1094</v>
      </c>
      <c r="E205" s="242"/>
      <c r="F205" s="242" t="s">
        <v>686</v>
      </c>
      <c r="G205" s="242" t="s">
        <v>35</v>
      </c>
      <c r="H205" s="253">
        <v>531557.56499999994</v>
      </c>
      <c r="I205" s="242"/>
      <c r="J205" s="242"/>
      <c r="K205" s="242">
        <v>16.849577</v>
      </c>
      <c r="L205" s="242">
        <v>16.849577</v>
      </c>
      <c r="M205" t="s">
        <v>1594</v>
      </c>
    </row>
    <row r="206" spans="1:13" ht="27" x14ac:dyDescent="0.3">
      <c r="A206" s="252">
        <v>2024</v>
      </c>
      <c r="B206" s="242" t="s">
        <v>1087</v>
      </c>
      <c r="C206" s="242"/>
      <c r="D206" s="242" t="s">
        <v>1094</v>
      </c>
      <c r="E206" s="242"/>
      <c r="F206" s="242" t="s">
        <v>686</v>
      </c>
      <c r="G206" s="242" t="s">
        <v>35</v>
      </c>
      <c r="H206" s="253">
        <v>318406</v>
      </c>
      <c r="I206" s="242"/>
      <c r="J206" s="242"/>
      <c r="K206" s="242">
        <v>141.84830400000001</v>
      </c>
      <c r="L206" s="242">
        <v>92.374071000000001</v>
      </c>
      <c r="M206" t="s">
        <v>1594</v>
      </c>
    </row>
    <row r="207" spans="1:13" ht="27" x14ac:dyDescent="0.3">
      <c r="A207" s="252">
        <v>2024</v>
      </c>
      <c r="B207" s="242" t="s">
        <v>1088</v>
      </c>
      <c r="C207" s="242"/>
      <c r="D207" s="242" t="s">
        <v>1094</v>
      </c>
      <c r="E207" s="242"/>
      <c r="F207" s="242" t="s">
        <v>686</v>
      </c>
      <c r="G207" s="242" t="s">
        <v>35</v>
      </c>
      <c r="H207" s="242">
        <v>228275.929</v>
      </c>
      <c r="I207" s="242"/>
      <c r="J207" s="242"/>
      <c r="K207" s="242">
        <v>4.725314</v>
      </c>
      <c r="L207" s="242">
        <v>4.725314</v>
      </c>
      <c r="M207" t="s">
        <v>1594</v>
      </c>
    </row>
    <row r="208" spans="1:13" ht="27" x14ac:dyDescent="0.3">
      <c r="A208" s="252">
        <v>2024</v>
      </c>
      <c r="B208" s="242" t="s">
        <v>1089</v>
      </c>
      <c r="C208" s="242"/>
      <c r="D208" s="242" t="s">
        <v>1094</v>
      </c>
      <c r="E208" s="242"/>
      <c r="F208" s="242" t="s">
        <v>686</v>
      </c>
      <c r="G208" s="242" t="s">
        <v>1084</v>
      </c>
      <c r="H208" s="242">
        <v>2.4319999999999999</v>
      </c>
      <c r="I208" s="242"/>
      <c r="J208" s="242"/>
      <c r="K208" s="242">
        <v>2.1676000000000001E-2</v>
      </c>
      <c r="L208" s="242">
        <v>2.1676000000000001E-2</v>
      </c>
      <c r="M208" t="s">
        <v>1594</v>
      </c>
    </row>
    <row r="209" spans="1:13" ht="27" x14ac:dyDescent="0.3">
      <c r="A209" s="252">
        <v>2024</v>
      </c>
      <c r="B209" s="242" t="s">
        <v>1083</v>
      </c>
      <c r="C209" s="242"/>
      <c r="D209" s="242" t="s">
        <v>1094</v>
      </c>
      <c r="E209" s="242"/>
      <c r="F209" s="242" t="s">
        <v>686</v>
      </c>
      <c r="G209" s="242" t="s">
        <v>1084</v>
      </c>
      <c r="H209" s="242">
        <v>20.908000000000001</v>
      </c>
      <c r="I209" s="242"/>
      <c r="J209" s="242"/>
      <c r="K209" s="242">
        <v>0.13403100000000001</v>
      </c>
      <c r="L209" s="242">
        <v>0.13403100000000001</v>
      </c>
      <c r="M209" t="s">
        <v>1594</v>
      </c>
    </row>
    <row r="210" spans="1:13" ht="27" x14ac:dyDescent="0.3">
      <c r="A210" s="252">
        <v>2024</v>
      </c>
      <c r="B210" s="242" t="s">
        <v>1085</v>
      </c>
      <c r="C210" s="242"/>
      <c r="D210" s="242" t="s">
        <v>1094</v>
      </c>
      <c r="E210" s="242"/>
      <c r="F210" s="242" t="s">
        <v>686</v>
      </c>
      <c r="G210" s="242" t="s">
        <v>1084</v>
      </c>
      <c r="H210" s="242">
        <v>5.8879999999999999</v>
      </c>
      <c r="I210" s="242"/>
      <c r="J210" s="242"/>
      <c r="K210" s="242">
        <v>3.7745000000000001E-2</v>
      </c>
      <c r="L210" s="242">
        <v>3.7745000000000001E-2</v>
      </c>
      <c r="M210" t="s">
        <v>1594</v>
      </c>
    </row>
    <row r="211" spans="1:13" ht="27" x14ac:dyDescent="0.3">
      <c r="A211" s="252">
        <v>2024</v>
      </c>
      <c r="B211" s="242" t="s">
        <v>1086</v>
      </c>
      <c r="C211" s="242"/>
      <c r="D211" s="242" t="s">
        <v>1094</v>
      </c>
      <c r="E211" s="242"/>
      <c r="F211" s="242" t="s">
        <v>686</v>
      </c>
      <c r="G211" s="242" t="s">
        <v>35</v>
      </c>
      <c r="H211" s="242">
        <v>185706</v>
      </c>
      <c r="I211" s="242"/>
      <c r="J211" s="242"/>
      <c r="K211" s="242">
        <v>-82.731106999999994</v>
      </c>
      <c r="L211" s="242"/>
      <c r="M211" t="s">
        <v>1594</v>
      </c>
    </row>
    <row r="212" spans="1:13" x14ac:dyDescent="0.3">
      <c r="A212" s="252">
        <v>2024</v>
      </c>
      <c r="B212" s="242" t="s">
        <v>1090</v>
      </c>
      <c r="C212" s="242"/>
      <c r="D212" s="242" t="s">
        <v>1094</v>
      </c>
      <c r="E212" s="242"/>
      <c r="F212" s="242" t="s">
        <v>686</v>
      </c>
      <c r="G212" s="242" t="s">
        <v>35</v>
      </c>
      <c r="H212" s="242">
        <v>228275.929</v>
      </c>
      <c r="I212" s="242"/>
      <c r="J212" s="242"/>
      <c r="K212" s="242">
        <v>10.751797</v>
      </c>
      <c r="L212" s="242">
        <v>10.751797</v>
      </c>
      <c r="M212" t="s">
        <v>1594</v>
      </c>
    </row>
    <row r="213" spans="1:13" ht="27" hidden="1" x14ac:dyDescent="0.3">
      <c r="A213" s="252">
        <v>2024</v>
      </c>
      <c r="B213" s="242" t="s">
        <v>1078</v>
      </c>
      <c r="C213" s="242"/>
      <c r="D213" s="242" t="s">
        <v>1095</v>
      </c>
      <c r="E213" s="242"/>
      <c r="F213" s="242" t="s">
        <v>1079</v>
      </c>
      <c r="G213" s="242" t="s">
        <v>35</v>
      </c>
      <c r="H213" s="253">
        <v>115347.87</v>
      </c>
      <c r="I213" s="242"/>
      <c r="J213" s="242"/>
      <c r="K213" s="242">
        <v>19.59057</v>
      </c>
      <c r="L213" s="242">
        <v>19.59057</v>
      </c>
      <c r="M213" t="s">
        <v>1594</v>
      </c>
    </row>
    <row r="214" spans="1:13" ht="27" hidden="1" x14ac:dyDescent="0.3">
      <c r="A214" s="252">
        <v>2024</v>
      </c>
      <c r="B214" s="242" t="s">
        <v>1080</v>
      </c>
      <c r="C214" s="242"/>
      <c r="D214" s="242" t="s">
        <v>1095</v>
      </c>
      <c r="E214" s="242"/>
      <c r="F214" s="242" t="s">
        <v>1081</v>
      </c>
      <c r="G214" s="242" t="s">
        <v>35</v>
      </c>
      <c r="H214" s="242">
        <v>165093.91</v>
      </c>
      <c r="I214" s="242"/>
      <c r="J214" s="242"/>
      <c r="K214" s="242">
        <v>73.548524</v>
      </c>
      <c r="L214" s="242">
        <v>47.896070000000002</v>
      </c>
      <c r="M214" t="s">
        <v>1594</v>
      </c>
    </row>
    <row r="215" spans="1:13" hidden="1" x14ac:dyDescent="0.3">
      <c r="A215" s="252">
        <v>2024</v>
      </c>
      <c r="B215" s="242" t="s">
        <v>1082</v>
      </c>
      <c r="C215" s="242"/>
      <c r="D215" s="242" t="s">
        <v>1095</v>
      </c>
      <c r="E215" s="242"/>
      <c r="F215" s="242" t="s">
        <v>1081</v>
      </c>
      <c r="G215" s="242" t="s">
        <v>35</v>
      </c>
      <c r="H215" s="253">
        <v>165093.91</v>
      </c>
      <c r="I215" s="242"/>
      <c r="J215" s="242"/>
      <c r="K215" s="242">
        <v>-73.548524</v>
      </c>
      <c r="L215" s="242"/>
      <c r="M215" t="s">
        <v>1594</v>
      </c>
    </row>
    <row r="216" spans="1:13" ht="27" x14ac:dyDescent="0.3">
      <c r="A216" s="252">
        <v>2024</v>
      </c>
      <c r="B216" s="242" t="s">
        <v>1083</v>
      </c>
      <c r="C216" s="242"/>
      <c r="D216" s="242" t="s">
        <v>1095</v>
      </c>
      <c r="E216" s="242"/>
      <c r="F216" s="242" t="s">
        <v>686</v>
      </c>
      <c r="G216" s="242" t="s">
        <v>1084</v>
      </c>
      <c r="H216" s="242">
        <v>3.327</v>
      </c>
      <c r="I216" s="242"/>
      <c r="J216" s="242"/>
      <c r="K216" s="242">
        <v>2.1328E-2</v>
      </c>
      <c r="L216" s="242">
        <v>2.1328E-2</v>
      </c>
      <c r="M216" t="s">
        <v>1594</v>
      </c>
    </row>
    <row r="217" spans="1:13" ht="27" x14ac:dyDescent="0.3">
      <c r="A217" s="252">
        <v>2024</v>
      </c>
      <c r="B217" s="242" t="s">
        <v>1085</v>
      </c>
      <c r="C217" s="242"/>
      <c r="D217" s="242" t="s">
        <v>1095</v>
      </c>
      <c r="E217" s="242"/>
      <c r="F217" s="242" t="s">
        <v>686</v>
      </c>
      <c r="G217" s="242" t="s">
        <v>1084</v>
      </c>
      <c r="H217" s="242">
        <v>4.3250000000000002</v>
      </c>
      <c r="I217" s="242"/>
      <c r="J217" s="242"/>
      <c r="K217" s="242">
        <v>2.7726000000000001E-2</v>
      </c>
      <c r="L217" s="242">
        <v>2.7726000000000001E-2</v>
      </c>
      <c r="M217" t="s">
        <v>1594</v>
      </c>
    </row>
    <row r="218" spans="1:13" ht="27" x14ac:dyDescent="0.3">
      <c r="A218" s="252">
        <v>2024</v>
      </c>
      <c r="B218" s="242" t="s">
        <v>1086</v>
      </c>
      <c r="C218" s="242"/>
      <c r="D218" s="242" t="s">
        <v>1095</v>
      </c>
      <c r="E218" s="242"/>
      <c r="F218" s="242" t="s">
        <v>686</v>
      </c>
      <c r="G218" s="242" t="s">
        <v>35</v>
      </c>
      <c r="H218" s="242">
        <v>552783.23199999996</v>
      </c>
      <c r="I218" s="242"/>
      <c r="J218" s="242"/>
      <c r="K218" s="242">
        <v>-246.262202</v>
      </c>
      <c r="L218" s="242"/>
      <c r="M218" t="s">
        <v>1594</v>
      </c>
    </row>
    <row r="219" spans="1:13" x14ac:dyDescent="0.3">
      <c r="A219" s="252">
        <v>2024</v>
      </c>
      <c r="B219" s="242" t="s">
        <v>1090</v>
      </c>
      <c r="C219" s="242"/>
      <c r="D219" s="242" t="s">
        <v>1095</v>
      </c>
      <c r="E219" s="242"/>
      <c r="F219" s="242" t="s">
        <v>686</v>
      </c>
      <c r="G219" s="242" t="s">
        <v>35</v>
      </c>
      <c r="H219" s="242">
        <v>165093.91</v>
      </c>
      <c r="I219" s="242"/>
      <c r="J219" s="242"/>
      <c r="K219" s="242">
        <v>7.7759229999999997</v>
      </c>
      <c r="L219" s="242">
        <v>7.7759229999999997</v>
      </c>
      <c r="M219" t="s">
        <v>1594</v>
      </c>
    </row>
    <row r="220" spans="1:13" x14ac:dyDescent="0.3">
      <c r="A220" s="252">
        <v>2024</v>
      </c>
      <c r="B220" s="242" t="s">
        <v>1091</v>
      </c>
      <c r="C220" s="242"/>
      <c r="D220" s="242" t="s">
        <v>1095</v>
      </c>
      <c r="E220" s="242"/>
      <c r="F220" s="242" t="s">
        <v>686</v>
      </c>
      <c r="G220" s="242" t="s">
        <v>35</v>
      </c>
      <c r="H220" s="242">
        <v>109941.97500000001</v>
      </c>
      <c r="I220" s="242"/>
      <c r="J220" s="242"/>
      <c r="K220" s="242">
        <v>3.4849950000000001</v>
      </c>
      <c r="L220" s="242">
        <v>3.4849950000000001</v>
      </c>
      <c r="M220" t="s">
        <v>1594</v>
      </c>
    </row>
    <row r="221" spans="1:13" ht="27" x14ac:dyDescent="0.3">
      <c r="A221" s="252">
        <v>2024</v>
      </c>
      <c r="B221" s="242" t="s">
        <v>1087</v>
      </c>
      <c r="C221" s="242"/>
      <c r="D221" s="242" t="s">
        <v>1095</v>
      </c>
      <c r="E221" s="242"/>
      <c r="F221" s="242" t="s">
        <v>686</v>
      </c>
      <c r="G221" s="242" t="s">
        <v>35</v>
      </c>
      <c r="H221" s="242">
        <v>621683.23199999996</v>
      </c>
      <c r="I221" s="242"/>
      <c r="J221" s="242"/>
      <c r="K221" s="242">
        <v>276.956816</v>
      </c>
      <c r="L221" s="242">
        <v>180.359073</v>
      </c>
      <c r="M221" t="s">
        <v>1594</v>
      </c>
    </row>
    <row r="222" spans="1:13" ht="27" x14ac:dyDescent="0.3">
      <c r="A222" s="252">
        <v>2024</v>
      </c>
      <c r="B222" s="242" t="s">
        <v>1088</v>
      </c>
      <c r="C222" s="242"/>
      <c r="D222" s="242" t="s">
        <v>1095</v>
      </c>
      <c r="E222" s="242"/>
      <c r="F222" s="242" t="s">
        <v>686</v>
      </c>
      <c r="G222" s="242" t="s">
        <v>35</v>
      </c>
      <c r="H222" s="242">
        <v>165093.91</v>
      </c>
      <c r="I222" s="242"/>
      <c r="J222" s="242"/>
      <c r="K222" s="242">
        <v>3.4174440000000001</v>
      </c>
      <c r="L222" s="242">
        <v>3.4174440000000001</v>
      </c>
      <c r="M222" t="s">
        <v>1594</v>
      </c>
    </row>
    <row r="223" spans="1:13" ht="27" x14ac:dyDescent="0.3">
      <c r="A223" s="252">
        <v>2024</v>
      </c>
      <c r="B223" s="242" t="s">
        <v>1089</v>
      </c>
      <c r="C223" s="242"/>
      <c r="D223" s="242" t="s">
        <v>1095</v>
      </c>
      <c r="E223" s="242"/>
      <c r="F223" s="242" t="s">
        <v>686</v>
      </c>
      <c r="G223" s="242" t="s">
        <v>1084</v>
      </c>
      <c r="H223" s="242">
        <v>2.4049999999999998</v>
      </c>
      <c r="I223" s="242"/>
      <c r="J223" s="242"/>
      <c r="K223" s="242">
        <v>2.1434999999999999E-2</v>
      </c>
      <c r="L223" s="242">
        <v>2.1434999999999999E-2</v>
      </c>
      <c r="M223" t="s">
        <v>1594</v>
      </c>
    </row>
    <row r="224" spans="1:13" ht="27" hidden="1" x14ac:dyDescent="0.3">
      <c r="A224" s="252">
        <v>2024</v>
      </c>
      <c r="B224" s="242" t="s">
        <v>1080</v>
      </c>
      <c r="C224" s="242"/>
      <c r="D224" s="242" t="s">
        <v>456</v>
      </c>
      <c r="E224" s="242"/>
      <c r="F224" s="242" t="s">
        <v>1081</v>
      </c>
      <c r="G224" s="242" t="s">
        <v>35</v>
      </c>
      <c r="H224" s="242">
        <v>67899</v>
      </c>
      <c r="I224" s="242"/>
      <c r="J224" s="242"/>
      <c r="K224" s="242">
        <v>30.248669</v>
      </c>
      <c r="L224" s="242">
        <v>19.698459</v>
      </c>
      <c r="M224" t="s">
        <v>1594</v>
      </c>
    </row>
    <row r="225" spans="1:13" hidden="1" x14ac:dyDescent="0.3">
      <c r="A225" s="252">
        <v>2024</v>
      </c>
      <c r="B225" s="242" t="s">
        <v>1082</v>
      </c>
      <c r="C225" s="242"/>
      <c r="D225" s="242" t="s">
        <v>456</v>
      </c>
      <c r="E225" s="242"/>
      <c r="F225" s="242" t="s">
        <v>1081</v>
      </c>
      <c r="G225" s="242" t="s">
        <v>35</v>
      </c>
      <c r="H225" s="253">
        <v>67899</v>
      </c>
      <c r="I225" s="242"/>
      <c r="J225" s="242"/>
      <c r="K225" s="242">
        <v>-30.248669</v>
      </c>
      <c r="L225" s="242"/>
      <c r="M225" t="s">
        <v>1594</v>
      </c>
    </row>
    <row r="226" spans="1:13" ht="27" x14ac:dyDescent="0.3">
      <c r="A226" s="252">
        <v>2024</v>
      </c>
      <c r="B226" s="242" t="s">
        <v>1087</v>
      </c>
      <c r="C226" s="242"/>
      <c r="D226" s="242" t="s">
        <v>456</v>
      </c>
      <c r="E226" s="242"/>
      <c r="F226" s="242" t="s">
        <v>686</v>
      </c>
      <c r="G226" s="242" t="s">
        <v>35</v>
      </c>
      <c r="H226" s="253">
        <v>150360.99600000001</v>
      </c>
      <c r="I226" s="242"/>
      <c r="J226" s="242"/>
      <c r="K226" s="242">
        <v>66.985079999999996</v>
      </c>
      <c r="L226" s="242">
        <v>43.621836000000002</v>
      </c>
      <c r="M226" t="s">
        <v>1594</v>
      </c>
    </row>
    <row r="227" spans="1:13" ht="27" x14ac:dyDescent="0.3">
      <c r="A227" s="252">
        <v>2024</v>
      </c>
      <c r="B227" s="242" t="s">
        <v>1088</v>
      </c>
      <c r="C227" s="242"/>
      <c r="D227" s="242" t="s">
        <v>456</v>
      </c>
      <c r="E227" s="242"/>
      <c r="F227" s="242" t="s">
        <v>686</v>
      </c>
      <c r="G227" s="242" t="s">
        <v>35</v>
      </c>
      <c r="H227" s="253">
        <v>58589.866000000002</v>
      </c>
      <c r="I227" s="242"/>
      <c r="J227" s="242"/>
      <c r="K227" s="242">
        <v>1.2128099999999999</v>
      </c>
      <c r="L227" s="242">
        <v>1.2128099999999999</v>
      </c>
      <c r="M227" t="s">
        <v>1594</v>
      </c>
    </row>
    <row r="228" spans="1:13" ht="27" x14ac:dyDescent="0.3">
      <c r="A228" s="296">
        <v>2024</v>
      </c>
      <c r="B228" s="297" t="s">
        <v>1093</v>
      </c>
      <c r="C228" s="297"/>
      <c r="D228" s="297" t="s">
        <v>456</v>
      </c>
      <c r="E228" s="297"/>
      <c r="F228" s="297" t="s">
        <v>686</v>
      </c>
      <c r="G228" s="297" t="s">
        <v>35</v>
      </c>
      <c r="H228" s="297">
        <v>483686.304</v>
      </c>
      <c r="I228" s="297"/>
      <c r="J228" s="297"/>
      <c r="K228" s="297">
        <v>82.148688000000007</v>
      </c>
      <c r="L228" s="297">
        <v>82.148688000000007</v>
      </c>
      <c r="M228" s="298" t="s">
        <v>1595</v>
      </c>
    </row>
    <row r="229" spans="1:13" ht="27" x14ac:dyDescent="0.3">
      <c r="A229" s="252">
        <v>2024</v>
      </c>
      <c r="B229" s="242" t="s">
        <v>1089</v>
      </c>
      <c r="C229" s="242"/>
      <c r="D229" s="242" t="s">
        <v>456</v>
      </c>
      <c r="E229" s="242"/>
      <c r="F229" s="242" t="s">
        <v>686</v>
      </c>
      <c r="G229" s="242" t="s">
        <v>1084</v>
      </c>
      <c r="H229" s="242">
        <v>2.8580000000000001</v>
      </c>
      <c r="I229" s="242"/>
      <c r="J229" s="242"/>
      <c r="K229" s="242">
        <v>2.5472000000000002E-2</v>
      </c>
      <c r="L229" s="242">
        <v>2.5472000000000002E-2</v>
      </c>
      <c r="M229" t="s">
        <v>1594</v>
      </c>
    </row>
    <row r="230" spans="1:13" ht="27" x14ac:dyDescent="0.3">
      <c r="A230" s="252">
        <v>2024</v>
      </c>
      <c r="B230" s="242" t="s">
        <v>1083</v>
      </c>
      <c r="C230" s="242"/>
      <c r="D230" s="242" t="s">
        <v>456</v>
      </c>
      <c r="E230" s="242"/>
      <c r="F230" s="242" t="s">
        <v>686</v>
      </c>
      <c r="G230" s="242" t="s">
        <v>1084</v>
      </c>
      <c r="H230" s="242">
        <v>16.672999999999998</v>
      </c>
      <c r="I230" s="242"/>
      <c r="J230" s="242"/>
      <c r="K230" s="242">
        <v>0.10688300000000001</v>
      </c>
      <c r="L230" s="242">
        <v>0.10688300000000001</v>
      </c>
      <c r="M230" t="s">
        <v>1594</v>
      </c>
    </row>
    <row r="231" spans="1:13" ht="27" x14ac:dyDescent="0.3">
      <c r="A231" s="252">
        <v>2024</v>
      </c>
      <c r="B231" s="242" t="s">
        <v>1085</v>
      </c>
      <c r="C231" s="242"/>
      <c r="D231" s="242" t="s">
        <v>456</v>
      </c>
      <c r="E231" s="242"/>
      <c r="F231" s="242" t="s">
        <v>686</v>
      </c>
      <c r="G231" s="242" t="s">
        <v>1084</v>
      </c>
      <c r="H231" s="242">
        <v>24.027999999999999</v>
      </c>
      <c r="I231" s="242"/>
      <c r="J231" s="242"/>
      <c r="K231" s="242">
        <v>0.15403500000000001</v>
      </c>
      <c r="L231" s="242">
        <v>0.15403500000000001</v>
      </c>
      <c r="M231" t="s">
        <v>1594</v>
      </c>
    </row>
    <row r="232" spans="1:13" x14ac:dyDescent="0.3">
      <c r="A232" s="252">
        <v>2024</v>
      </c>
      <c r="B232" s="242" t="s">
        <v>1090</v>
      </c>
      <c r="C232" s="242"/>
      <c r="D232" s="242" t="s">
        <v>456</v>
      </c>
      <c r="E232" s="242"/>
      <c r="F232" s="242" t="s">
        <v>686</v>
      </c>
      <c r="G232" s="242" t="s">
        <v>35</v>
      </c>
      <c r="H232" s="253">
        <v>58589.866000000002</v>
      </c>
      <c r="I232" s="242"/>
      <c r="J232" s="242"/>
      <c r="K232" s="242">
        <v>2.7595809999999998</v>
      </c>
      <c r="L232" s="242">
        <v>2.7595809999999998</v>
      </c>
      <c r="M232" t="s">
        <v>1594</v>
      </c>
    </row>
    <row r="233" spans="1:13" ht="27" x14ac:dyDescent="0.3">
      <c r="A233" s="296">
        <v>2024</v>
      </c>
      <c r="B233" s="297" t="s">
        <v>1092</v>
      </c>
      <c r="C233" s="297"/>
      <c r="D233" s="297" t="s">
        <v>835</v>
      </c>
      <c r="E233" s="297"/>
      <c r="F233" s="297" t="s">
        <v>686</v>
      </c>
      <c r="G233" s="297" t="s">
        <v>35</v>
      </c>
      <c r="H233" s="297">
        <v>236288.07</v>
      </c>
      <c r="I233" s="297"/>
      <c r="J233" s="297"/>
      <c r="K233" s="297">
        <v>105.26517</v>
      </c>
      <c r="L233" s="297">
        <v>68.550498000000005</v>
      </c>
      <c r="M233" s="298" t="s">
        <v>1595</v>
      </c>
    </row>
    <row r="234" spans="1:13" ht="27" x14ac:dyDescent="0.3">
      <c r="A234" s="296">
        <v>2024</v>
      </c>
      <c r="B234" s="297" t="s">
        <v>1093</v>
      </c>
      <c r="C234" s="297"/>
      <c r="D234" s="297" t="s">
        <v>835</v>
      </c>
      <c r="E234" s="297"/>
      <c r="F234" s="297" t="s">
        <v>686</v>
      </c>
      <c r="G234" s="297" t="s">
        <v>35</v>
      </c>
      <c r="H234" s="297">
        <v>164271.32399999999</v>
      </c>
      <c r="I234" s="297"/>
      <c r="J234" s="297"/>
      <c r="K234" s="297">
        <v>27.899640000000002</v>
      </c>
      <c r="L234" s="297">
        <v>27.899640000000002</v>
      </c>
      <c r="M234" s="298" t="s">
        <v>1595</v>
      </c>
    </row>
    <row r="235" spans="1:13" ht="27" x14ac:dyDescent="0.3">
      <c r="A235" s="296">
        <v>2024</v>
      </c>
      <c r="B235" s="297" t="s">
        <v>1085</v>
      </c>
      <c r="C235" s="297"/>
      <c r="D235" s="297" t="s">
        <v>835</v>
      </c>
      <c r="E235" s="297"/>
      <c r="F235" s="297" t="s">
        <v>686</v>
      </c>
      <c r="G235" s="297" t="s">
        <v>1084</v>
      </c>
      <c r="H235" s="297">
        <v>1.62</v>
      </c>
      <c r="I235" s="297"/>
      <c r="J235" s="297"/>
      <c r="K235" s="297">
        <v>1.038E-2</v>
      </c>
      <c r="L235" s="297">
        <v>1.038E-2</v>
      </c>
      <c r="M235" s="298" t="s">
        <v>1595</v>
      </c>
    </row>
    <row r="236" spans="1:13" ht="27" hidden="1" x14ac:dyDescent="0.3">
      <c r="A236" s="252">
        <v>2024</v>
      </c>
      <c r="B236" s="242" t="s">
        <v>1078</v>
      </c>
      <c r="C236" s="242"/>
      <c r="D236" s="242" t="s">
        <v>461</v>
      </c>
      <c r="E236" s="242"/>
      <c r="F236" s="242" t="s">
        <v>1079</v>
      </c>
      <c r="G236" s="242" t="s">
        <v>35</v>
      </c>
      <c r="H236" s="253">
        <v>582021.43099999998</v>
      </c>
      <c r="I236" s="242"/>
      <c r="J236" s="242"/>
      <c r="K236" s="242">
        <v>98.849956000000006</v>
      </c>
      <c r="L236" s="242">
        <v>98.849956000000006</v>
      </c>
      <c r="M236" t="s">
        <v>1594</v>
      </c>
    </row>
    <row r="237" spans="1:13" ht="27" hidden="1" x14ac:dyDescent="0.3">
      <c r="A237" s="252">
        <v>2024</v>
      </c>
      <c r="B237" s="242" t="s">
        <v>1080</v>
      </c>
      <c r="C237" s="242"/>
      <c r="D237" s="242" t="s">
        <v>461</v>
      </c>
      <c r="E237" s="242"/>
      <c r="F237" s="242" t="s">
        <v>1081</v>
      </c>
      <c r="G237" s="242" t="s">
        <v>35</v>
      </c>
      <c r="H237" s="242">
        <v>314796.55200000003</v>
      </c>
      <c r="I237" s="242"/>
      <c r="J237" s="242"/>
      <c r="K237" s="242">
        <v>140.24031099999999</v>
      </c>
      <c r="L237" s="242">
        <v>91.326916999999995</v>
      </c>
      <c r="M237" t="s">
        <v>1594</v>
      </c>
    </row>
    <row r="238" spans="1:13" hidden="1" x14ac:dyDescent="0.3">
      <c r="A238" s="252">
        <v>2024</v>
      </c>
      <c r="B238" s="242" t="s">
        <v>1082</v>
      </c>
      <c r="C238" s="242"/>
      <c r="D238" s="242" t="s">
        <v>461</v>
      </c>
      <c r="E238" s="242"/>
      <c r="F238" s="242" t="s">
        <v>1081</v>
      </c>
      <c r="G238" s="242" t="s">
        <v>35</v>
      </c>
      <c r="H238" s="242">
        <v>314796.55200000003</v>
      </c>
      <c r="I238" s="242"/>
      <c r="J238" s="242"/>
      <c r="K238" s="242">
        <v>-140.24031099999999</v>
      </c>
      <c r="L238" s="242"/>
      <c r="M238" t="s">
        <v>1594</v>
      </c>
    </row>
    <row r="239" spans="1:13" ht="27" x14ac:dyDescent="0.3">
      <c r="A239" s="252">
        <v>2024</v>
      </c>
      <c r="B239" s="242" t="s">
        <v>1087</v>
      </c>
      <c r="C239" s="242"/>
      <c r="D239" s="242" t="s">
        <v>461</v>
      </c>
      <c r="E239" s="242"/>
      <c r="F239" s="242" t="s">
        <v>686</v>
      </c>
      <c r="G239" s="242" t="s">
        <v>35</v>
      </c>
      <c r="H239" s="242">
        <v>393065.5</v>
      </c>
      <c r="I239" s="242"/>
      <c r="J239" s="242"/>
      <c r="K239" s="242">
        <v>175.10874000000001</v>
      </c>
      <c r="L239" s="242">
        <v>114.033844</v>
      </c>
      <c r="M239" t="s">
        <v>1594</v>
      </c>
    </row>
    <row r="240" spans="1:13" ht="27" x14ac:dyDescent="0.3">
      <c r="A240" s="252">
        <v>2024</v>
      </c>
      <c r="B240" s="242" t="s">
        <v>1088</v>
      </c>
      <c r="C240" s="242"/>
      <c r="D240" s="242" t="s">
        <v>461</v>
      </c>
      <c r="E240" s="242"/>
      <c r="F240" s="242" t="s">
        <v>686</v>
      </c>
      <c r="G240" s="242" t="s">
        <v>35</v>
      </c>
      <c r="H240" s="242">
        <v>314796.55200000003</v>
      </c>
      <c r="I240" s="242"/>
      <c r="J240" s="242"/>
      <c r="K240" s="242">
        <v>6.5162880000000003</v>
      </c>
      <c r="L240" s="242">
        <v>6.5162880000000003</v>
      </c>
      <c r="M240" t="s">
        <v>1594</v>
      </c>
    </row>
    <row r="241" spans="1:13" ht="27" x14ac:dyDescent="0.3">
      <c r="A241" s="252">
        <v>2024</v>
      </c>
      <c r="B241" s="242" t="s">
        <v>1089</v>
      </c>
      <c r="C241" s="242"/>
      <c r="D241" s="242" t="s">
        <v>461</v>
      </c>
      <c r="E241" s="242"/>
      <c r="F241" s="242" t="s">
        <v>686</v>
      </c>
      <c r="G241" s="242" t="s">
        <v>1084</v>
      </c>
      <c r="H241" s="242">
        <v>2.532</v>
      </c>
      <c r="I241" s="242"/>
      <c r="J241" s="242"/>
      <c r="K241" s="242">
        <v>2.2567E-2</v>
      </c>
      <c r="L241" s="242">
        <v>2.2567E-2</v>
      </c>
      <c r="M241" t="s">
        <v>1594</v>
      </c>
    </row>
    <row r="242" spans="1:13" ht="27" x14ac:dyDescent="0.3">
      <c r="A242" s="252">
        <v>2024</v>
      </c>
      <c r="B242" s="242" t="s">
        <v>1083</v>
      </c>
      <c r="C242" s="242"/>
      <c r="D242" s="242" t="s">
        <v>461</v>
      </c>
      <c r="E242" s="242"/>
      <c r="F242" s="242" t="s">
        <v>686</v>
      </c>
      <c r="G242" s="242" t="s">
        <v>1084</v>
      </c>
      <c r="H242" s="242">
        <v>4.4619999999999997</v>
      </c>
      <c r="I242" s="242"/>
      <c r="J242" s="242"/>
      <c r="K242" s="242">
        <v>2.8603E-2</v>
      </c>
      <c r="L242" s="242">
        <v>2.8603E-2</v>
      </c>
      <c r="M242" t="s">
        <v>1594</v>
      </c>
    </row>
    <row r="243" spans="1:13" ht="27" x14ac:dyDescent="0.3">
      <c r="A243" s="252">
        <v>2024</v>
      </c>
      <c r="B243" s="242" t="s">
        <v>1085</v>
      </c>
      <c r="C243" s="242"/>
      <c r="D243" s="242" t="s">
        <v>461</v>
      </c>
      <c r="E243" s="242"/>
      <c r="F243" s="242" t="s">
        <v>686</v>
      </c>
      <c r="G243" s="242" t="s">
        <v>1084</v>
      </c>
      <c r="H243" s="242">
        <v>6.9509999999999996</v>
      </c>
      <c r="I243" s="242"/>
      <c r="J243" s="242"/>
      <c r="K243" s="242">
        <v>4.4558E-2</v>
      </c>
      <c r="L243" s="242">
        <v>4.4558E-2</v>
      </c>
      <c r="M243" t="s">
        <v>1594</v>
      </c>
    </row>
    <row r="244" spans="1:13" ht="27" x14ac:dyDescent="0.3">
      <c r="A244" s="252">
        <v>2024</v>
      </c>
      <c r="B244" s="242" t="s">
        <v>1086</v>
      </c>
      <c r="C244" s="242"/>
      <c r="D244" s="242" t="s">
        <v>461</v>
      </c>
      <c r="E244" s="242"/>
      <c r="F244" s="242" t="s">
        <v>686</v>
      </c>
      <c r="G244" s="242" t="s">
        <v>35</v>
      </c>
      <c r="H244" s="242">
        <v>393065.5</v>
      </c>
      <c r="I244" s="242"/>
      <c r="J244" s="242"/>
      <c r="K244" s="242">
        <v>-175.10874000000001</v>
      </c>
      <c r="L244" s="242"/>
      <c r="M244" t="s">
        <v>1594</v>
      </c>
    </row>
    <row r="245" spans="1:13" x14ac:dyDescent="0.3">
      <c r="A245" s="252">
        <v>2024</v>
      </c>
      <c r="B245" s="242" t="s">
        <v>1090</v>
      </c>
      <c r="C245" s="242"/>
      <c r="D245" s="242" t="s">
        <v>461</v>
      </c>
      <c r="E245" s="242"/>
      <c r="F245" s="242" t="s">
        <v>686</v>
      </c>
      <c r="G245" s="242" t="s">
        <v>35</v>
      </c>
      <c r="H245" s="242">
        <v>314796.55200000003</v>
      </c>
      <c r="I245" s="242"/>
      <c r="J245" s="242"/>
      <c r="K245" s="242">
        <v>14.826917</v>
      </c>
      <c r="L245" s="242">
        <v>14.826917</v>
      </c>
      <c r="M245" t="s">
        <v>1594</v>
      </c>
    </row>
    <row r="246" spans="1:13" x14ac:dyDescent="0.3">
      <c r="A246" s="252">
        <v>2024</v>
      </c>
      <c r="B246" s="242" t="s">
        <v>1091</v>
      </c>
      <c r="C246" s="242"/>
      <c r="D246" s="242" t="s">
        <v>461</v>
      </c>
      <c r="E246" s="242"/>
      <c r="F246" s="242" t="s">
        <v>686</v>
      </c>
      <c r="G246" s="242" t="s">
        <v>35</v>
      </c>
      <c r="H246" s="242">
        <v>573926.96</v>
      </c>
      <c r="I246" s="242"/>
      <c r="J246" s="242"/>
      <c r="K246" s="242">
        <v>18.192623000000001</v>
      </c>
      <c r="L246" s="242">
        <v>18.192623000000001</v>
      </c>
      <c r="M246" t="s">
        <v>1594</v>
      </c>
    </row>
    <row r="247" spans="1:13" ht="27" hidden="1" x14ac:dyDescent="0.3">
      <c r="A247" s="252">
        <v>2024</v>
      </c>
      <c r="B247" s="242" t="s">
        <v>1078</v>
      </c>
      <c r="C247" s="242"/>
      <c r="D247" s="242" t="s">
        <v>462</v>
      </c>
      <c r="E247" s="242"/>
      <c r="F247" s="242" t="s">
        <v>1079</v>
      </c>
      <c r="G247" s="242" t="s">
        <v>35</v>
      </c>
      <c r="H247" s="253">
        <v>423531.29800000001</v>
      </c>
      <c r="I247" s="242"/>
      <c r="J247" s="242"/>
      <c r="K247" s="242">
        <v>71.932147999999998</v>
      </c>
      <c r="L247" s="242">
        <v>71.932147999999998</v>
      </c>
      <c r="M247" t="s">
        <v>1594</v>
      </c>
    </row>
    <row r="248" spans="1:13" ht="27" hidden="1" x14ac:dyDescent="0.3">
      <c r="A248" s="252">
        <v>2024</v>
      </c>
      <c r="B248" s="242" t="s">
        <v>1080</v>
      </c>
      <c r="C248" s="242"/>
      <c r="D248" s="242" t="s">
        <v>462</v>
      </c>
      <c r="E248" s="242"/>
      <c r="F248" s="242" t="s">
        <v>1081</v>
      </c>
      <c r="G248" s="242" t="s">
        <v>35</v>
      </c>
      <c r="H248" s="242">
        <v>270686.93900000001</v>
      </c>
      <c r="I248" s="242"/>
      <c r="J248" s="242"/>
      <c r="K248" s="242">
        <v>120.589698</v>
      </c>
      <c r="L248" s="242">
        <v>78.530094000000005</v>
      </c>
      <c r="M248" t="s">
        <v>1594</v>
      </c>
    </row>
    <row r="249" spans="1:13" hidden="1" x14ac:dyDescent="0.3">
      <c r="A249" s="252">
        <v>2024</v>
      </c>
      <c r="B249" s="242" t="s">
        <v>1082</v>
      </c>
      <c r="C249" s="242"/>
      <c r="D249" s="242" t="s">
        <v>462</v>
      </c>
      <c r="E249" s="242"/>
      <c r="F249" s="242" t="s">
        <v>1081</v>
      </c>
      <c r="G249" s="242" t="s">
        <v>35</v>
      </c>
      <c r="H249" s="242">
        <v>270686.93900000001</v>
      </c>
      <c r="I249" s="242"/>
      <c r="J249" s="242"/>
      <c r="K249" s="242">
        <v>-120.589698</v>
      </c>
      <c r="L249" s="242"/>
      <c r="M249" t="s">
        <v>1594</v>
      </c>
    </row>
    <row r="250" spans="1:13" x14ac:dyDescent="0.3">
      <c r="A250" s="252">
        <v>2024</v>
      </c>
      <c r="B250" s="242" t="s">
        <v>1090</v>
      </c>
      <c r="C250" s="242"/>
      <c r="D250" s="242" t="s">
        <v>462</v>
      </c>
      <c r="E250" s="242"/>
      <c r="F250" s="242" t="s">
        <v>686</v>
      </c>
      <c r="G250" s="242" t="s">
        <v>35</v>
      </c>
      <c r="H250" s="242">
        <v>272486.66899999999</v>
      </c>
      <c r="I250" s="242"/>
      <c r="J250" s="242"/>
      <c r="K250" s="242">
        <v>12.834122000000001</v>
      </c>
      <c r="L250" s="242">
        <v>12.834122000000001</v>
      </c>
      <c r="M250" t="s">
        <v>1594</v>
      </c>
    </row>
    <row r="251" spans="1:13" x14ac:dyDescent="0.3">
      <c r="A251" s="252">
        <v>2024</v>
      </c>
      <c r="B251" s="242" t="s">
        <v>1091</v>
      </c>
      <c r="C251" s="242"/>
      <c r="D251" s="242" t="s">
        <v>462</v>
      </c>
      <c r="E251" s="242"/>
      <c r="F251" s="242" t="s">
        <v>686</v>
      </c>
      <c r="G251" s="242" t="s">
        <v>35</v>
      </c>
      <c r="H251" s="253">
        <v>424134.90100000001</v>
      </c>
      <c r="I251" s="242"/>
      <c r="J251" s="242"/>
      <c r="K251" s="242">
        <v>13.44444</v>
      </c>
      <c r="L251" s="242">
        <v>13.44444</v>
      </c>
      <c r="M251" t="s">
        <v>1594</v>
      </c>
    </row>
    <row r="252" spans="1:13" ht="27" x14ac:dyDescent="0.3">
      <c r="A252" s="252">
        <v>2024</v>
      </c>
      <c r="B252" s="242" t="s">
        <v>1087</v>
      </c>
      <c r="C252" s="242"/>
      <c r="D252" s="242" t="s">
        <v>462</v>
      </c>
      <c r="E252" s="242"/>
      <c r="F252" s="242" t="s">
        <v>686</v>
      </c>
      <c r="G252" s="242" t="s">
        <v>35</v>
      </c>
      <c r="H252" s="242">
        <v>116741.06</v>
      </c>
      <c r="I252" s="242"/>
      <c r="J252" s="242"/>
      <c r="K252" s="242">
        <v>52.007567000000002</v>
      </c>
      <c r="L252" s="242">
        <v>33.868228999999999</v>
      </c>
      <c r="M252" t="s">
        <v>1594</v>
      </c>
    </row>
    <row r="253" spans="1:13" ht="27" x14ac:dyDescent="0.3">
      <c r="A253" s="252">
        <v>2024</v>
      </c>
      <c r="B253" s="242" t="s">
        <v>1088</v>
      </c>
      <c r="C253" s="242"/>
      <c r="D253" s="242" t="s">
        <v>462</v>
      </c>
      <c r="E253" s="242"/>
      <c r="F253" s="242" t="s">
        <v>686</v>
      </c>
      <c r="G253" s="242" t="s">
        <v>35</v>
      </c>
      <c r="H253" s="242">
        <v>272486.66899999999</v>
      </c>
      <c r="I253" s="242"/>
      <c r="J253" s="242"/>
      <c r="K253" s="242">
        <v>5.6404730000000001</v>
      </c>
      <c r="L253" s="242">
        <v>5.6404730000000001</v>
      </c>
      <c r="M253" t="s">
        <v>1594</v>
      </c>
    </row>
    <row r="254" spans="1:13" ht="27" x14ac:dyDescent="0.3">
      <c r="A254" s="252">
        <v>2024</v>
      </c>
      <c r="B254" s="252" t="s">
        <v>1089</v>
      </c>
      <c r="C254" s="252"/>
      <c r="D254" s="252" t="s">
        <v>462</v>
      </c>
      <c r="E254" s="252"/>
      <c r="F254" s="252" t="s">
        <v>686</v>
      </c>
      <c r="G254" s="252" t="s">
        <v>1084</v>
      </c>
      <c r="H254" s="252">
        <v>1.3220000000000001</v>
      </c>
      <c r="I254" s="252"/>
      <c r="J254" s="252"/>
      <c r="K254" s="242">
        <v>1.1782000000000001E-2</v>
      </c>
      <c r="L254" s="242">
        <v>1.1782000000000001E-2</v>
      </c>
      <c r="M254" t="s">
        <v>1594</v>
      </c>
    </row>
    <row r="255" spans="1:13" ht="27" x14ac:dyDescent="0.3">
      <c r="A255" s="252">
        <v>2024</v>
      </c>
      <c r="B255" s="242" t="s">
        <v>1083</v>
      </c>
      <c r="C255" s="242"/>
      <c r="D255" s="242" t="s">
        <v>462</v>
      </c>
      <c r="E255" s="242"/>
      <c r="F255" s="242" t="s">
        <v>686</v>
      </c>
      <c r="G255" s="242" t="s">
        <v>1084</v>
      </c>
      <c r="H255" s="242">
        <v>12.14</v>
      </c>
      <c r="I255" s="242"/>
      <c r="J255" s="242"/>
      <c r="K255" s="242">
        <v>7.7825000000000005E-2</v>
      </c>
      <c r="L255" s="242">
        <v>7.7825000000000005E-2</v>
      </c>
      <c r="M255" t="s">
        <v>1594</v>
      </c>
    </row>
    <row r="256" spans="1:13" ht="27" x14ac:dyDescent="0.3">
      <c r="A256" s="252">
        <v>2024</v>
      </c>
      <c r="B256" s="242" t="s">
        <v>1085</v>
      </c>
      <c r="C256" s="242"/>
      <c r="D256" s="242" t="s">
        <v>462</v>
      </c>
      <c r="E256" s="242"/>
      <c r="F256" s="242" t="s">
        <v>686</v>
      </c>
      <c r="G256" s="242" t="s">
        <v>1084</v>
      </c>
      <c r="H256" s="242">
        <v>1.7130000000000001</v>
      </c>
      <c r="I256" s="242"/>
      <c r="J256" s="242"/>
      <c r="K256" s="242">
        <v>1.0980999999999999E-2</v>
      </c>
      <c r="L256" s="242">
        <v>1.0980999999999999E-2</v>
      </c>
      <c r="M256" t="s">
        <v>1594</v>
      </c>
    </row>
    <row r="257" spans="1:13" ht="27" x14ac:dyDescent="0.3">
      <c r="A257" s="252">
        <v>2024</v>
      </c>
      <c r="B257" s="242" t="s">
        <v>1086</v>
      </c>
      <c r="C257" s="242"/>
      <c r="D257" s="242" t="s">
        <v>462</v>
      </c>
      <c r="E257" s="242"/>
      <c r="F257" s="242" t="s">
        <v>686</v>
      </c>
      <c r="G257" s="242" t="s">
        <v>35</v>
      </c>
      <c r="H257" s="253">
        <v>116741.06</v>
      </c>
      <c r="I257" s="242"/>
      <c r="J257" s="242"/>
      <c r="K257" s="242">
        <v>-52.007567000000002</v>
      </c>
      <c r="L257" s="242"/>
      <c r="M257" t="s">
        <v>1594</v>
      </c>
    </row>
    <row r="258" spans="1:13" ht="27" x14ac:dyDescent="0.3">
      <c r="A258" s="296">
        <v>2024</v>
      </c>
      <c r="B258" s="297" t="s">
        <v>1085</v>
      </c>
      <c r="C258" s="297"/>
      <c r="D258" s="297" t="s">
        <v>1096</v>
      </c>
      <c r="E258" s="297"/>
      <c r="F258" s="297" t="s">
        <v>686</v>
      </c>
      <c r="G258" s="297" t="s">
        <v>1084</v>
      </c>
      <c r="H258" s="297">
        <v>10.38</v>
      </c>
      <c r="I258" s="297"/>
      <c r="J258" s="297"/>
      <c r="K258" s="297">
        <v>6.6540000000000002E-2</v>
      </c>
      <c r="L258" s="297">
        <v>6.6540000000000002E-2</v>
      </c>
      <c r="M258" s="298" t="s">
        <v>1595</v>
      </c>
    </row>
    <row r="259" spans="1:13" ht="27" x14ac:dyDescent="0.3">
      <c r="A259" s="252">
        <v>2024</v>
      </c>
      <c r="B259" s="242" t="s">
        <v>1092</v>
      </c>
      <c r="C259" s="242"/>
      <c r="D259" s="242" t="s">
        <v>1096</v>
      </c>
      <c r="E259" s="242"/>
      <c r="F259" s="242" t="s">
        <v>686</v>
      </c>
      <c r="G259" s="242" t="s">
        <v>35</v>
      </c>
      <c r="H259" s="253">
        <v>572482</v>
      </c>
      <c r="I259" s="242"/>
      <c r="J259" s="242"/>
      <c r="K259" s="242">
        <v>255.03790900000001</v>
      </c>
      <c r="L259" s="242">
        <v>166.08510000000001</v>
      </c>
      <c r="M259" t="s">
        <v>1594</v>
      </c>
    </row>
    <row r="260" spans="1:13" ht="27" x14ac:dyDescent="0.3">
      <c r="A260" s="252">
        <v>2024</v>
      </c>
      <c r="B260" s="242" t="s">
        <v>1093</v>
      </c>
      <c r="C260" s="242"/>
      <c r="D260" s="242" t="s">
        <v>1096</v>
      </c>
      <c r="E260" s="242"/>
      <c r="F260" s="242" t="s">
        <v>686</v>
      </c>
      <c r="G260" s="242" t="s">
        <v>35</v>
      </c>
      <c r="H260" s="242">
        <v>8937</v>
      </c>
      <c r="I260" s="242"/>
      <c r="J260" s="242"/>
      <c r="K260" s="242">
        <v>1.5178499999999999</v>
      </c>
      <c r="L260" s="242">
        <v>1.5178499999999999</v>
      </c>
      <c r="M260" t="s">
        <v>1594</v>
      </c>
    </row>
    <row r="261" spans="1:13" ht="27" hidden="1" x14ac:dyDescent="0.3">
      <c r="A261" s="252">
        <v>2024</v>
      </c>
      <c r="B261" s="242" t="s">
        <v>1078</v>
      </c>
      <c r="C261" s="242"/>
      <c r="D261" s="242" t="s">
        <v>459</v>
      </c>
      <c r="E261" s="242"/>
      <c r="F261" s="242" t="s">
        <v>1079</v>
      </c>
      <c r="G261" s="242" t="s">
        <v>35</v>
      </c>
      <c r="H261" s="242">
        <v>748534.05</v>
      </c>
      <c r="I261" s="242"/>
      <c r="J261" s="242"/>
      <c r="K261" s="242">
        <v>127.130302</v>
      </c>
      <c r="L261" s="242">
        <v>127.130302</v>
      </c>
      <c r="M261" t="s">
        <v>1594</v>
      </c>
    </row>
    <row r="262" spans="1:13" hidden="1" x14ac:dyDescent="0.3">
      <c r="A262" s="252">
        <v>2024</v>
      </c>
      <c r="B262" s="242" t="s">
        <v>1082</v>
      </c>
      <c r="C262" s="242"/>
      <c r="D262" s="242" t="s">
        <v>459</v>
      </c>
      <c r="E262" s="242"/>
      <c r="F262" s="242" t="s">
        <v>1081</v>
      </c>
      <c r="G262" s="242" t="s">
        <v>35</v>
      </c>
      <c r="H262" s="242">
        <v>454228.84</v>
      </c>
      <c r="I262" s="242"/>
      <c r="J262" s="242"/>
      <c r="K262" s="242">
        <v>-202.356709</v>
      </c>
      <c r="L262" s="242"/>
      <c r="M262" t="s">
        <v>1594</v>
      </c>
    </row>
    <row r="263" spans="1:13" ht="27" hidden="1" x14ac:dyDescent="0.3">
      <c r="A263" s="252">
        <v>2024</v>
      </c>
      <c r="B263" s="242" t="s">
        <v>1080</v>
      </c>
      <c r="C263" s="242"/>
      <c r="D263" s="242" t="s">
        <v>459</v>
      </c>
      <c r="E263" s="242"/>
      <c r="F263" s="242" t="s">
        <v>1081</v>
      </c>
      <c r="G263" s="242" t="s">
        <v>35</v>
      </c>
      <c r="H263" s="242">
        <v>454228.84</v>
      </c>
      <c r="I263" s="242"/>
      <c r="J263" s="242"/>
      <c r="K263" s="242">
        <v>202.356709</v>
      </c>
      <c r="L263" s="242">
        <v>131.77819099999999</v>
      </c>
      <c r="M263" t="s">
        <v>1594</v>
      </c>
    </row>
    <row r="264" spans="1:13" ht="27" x14ac:dyDescent="0.3">
      <c r="A264" s="252">
        <v>2024</v>
      </c>
      <c r="B264" s="242" t="s">
        <v>1085</v>
      </c>
      <c r="C264" s="242"/>
      <c r="D264" s="242" t="s">
        <v>459</v>
      </c>
      <c r="E264" s="242"/>
      <c r="F264" s="242" t="s">
        <v>686</v>
      </c>
      <c r="G264" s="242" t="s">
        <v>1084</v>
      </c>
      <c r="H264" s="242">
        <v>3.6539999999999999</v>
      </c>
      <c r="I264" s="242"/>
      <c r="J264" s="242"/>
      <c r="K264" s="242">
        <v>2.3425000000000001E-2</v>
      </c>
      <c r="L264" s="242">
        <v>2.3425000000000001E-2</v>
      </c>
      <c r="M264" t="s">
        <v>1594</v>
      </c>
    </row>
    <row r="265" spans="1:13" ht="27" x14ac:dyDescent="0.3">
      <c r="A265" s="252">
        <v>2024</v>
      </c>
      <c r="B265" s="242" t="s">
        <v>1086</v>
      </c>
      <c r="C265" s="242"/>
      <c r="D265" s="242" t="s">
        <v>459</v>
      </c>
      <c r="E265" s="242"/>
      <c r="F265" s="242" t="s">
        <v>686</v>
      </c>
      <c r="G265" s="242" t="s">
        <v>35</v>
      </c>
      <c r="H265" s="242">
        <v>321465.65500000003</v>
      </c>
      <c r="I265" s="242"/>
      <c r="J265" s="242"/>
      <c r="K265" s="242">
        <v>-143.211366</v>
      </c>
      <c r="L265" s="242"/>
      <c r="M265" t="s">
        <v>1594</v>
      </c>
    </row>
    <row r="266" spans="1:13" x14ac:dyDescent="0.3">
      <c r="A266" s="252">
        <v>2024</v>
      </c>
      <c r="B266" s="242" t="s">
        <v>1090</v>
      </c>
      <c r="C266" s="242"/>
      <c r="D266" s="242" t="s">
        <v>459</v>
      </c>
      <c r="E266" s="242"/>
      <c r="F266" s="242" t="s">
        <v>686</v>
      </c>
      <c r="G266" s="242" t="s">
        <v>35</v>
      </c>
      <c r="H266" s="253">
        <v>392073.04800000001</v>
      </c>
      <c r="I266" s="242"/>
      <c r="J266" s="242"/>
      <c r="K266" s="242">
        <v>18.466640999999999</v>
      </c>
      <c r="L266" s="242">
        <v>18.466640999999999</v>
      </c>
      <c r="M266" t="s">
        <v>1594</v>
      </c>
    </row>
    <row r="267" spans="1:13" x14ac:dyDescent="0.3">
      <c r="A267" s="252">
        <v>2024</v>
      </c>
      <c r="B267" s="242" t="s">
        <v>1091</v>
      </c>
      <c r="C267" s="242"/>
      <c r="D267" s="242" t="s">
        <v>459</v>
      </c>
      <c r="E267" s="242"/>
      <c r="F267" s="242" t="s">
        <v>686</v>
      </c>
      <c r="G267" s="242" t="s">
        <v>35</v>
      </c>
      <c r="H267" s="242">
        <v>750711.88500000001</v>
      </c>
      <c r="I267" s="242"/>
      <c r="J267" s="242"/>
      <c r="K267" s="242">
        <v>23.796438999999999</v>
      </c>
      <c r="L267" s="242">
        <v>23.796438999999999</v>
      </c>
      <c r="M267" t="s">
        <v>1594</v>
      </c>
    </row>
    <row r="268" spans="1:13" ht="27" x14ac:dyDescent="0.3">
      <c r="A268" s="252">
        <v>2024</v>
      </c>
      <c r="B268" s="242" t="s">
        <v>1087</v>
      </c>
      <c r="C268" s="242"/>
      <c r="D268" s="242" t="s">
        <v>459</v>
      </c>
      <c r="E268" s="242"/>
      <c r="F268" s="242" t="s">
        <v>686</v>
      </c>
      <c r="G268" s="242" t="s">
        <v>35</v>
      </c>
      <c r="H268" s="253">
        <v>737299.06299999997</v>
      </c>
      <c r="I268" s="242"/>
      <c r="J268" s="242"/>
      <c r="K268" s="242">
        <v>328.463097</v>
      </c>
      <c r="L268" s="242">
        <v>213.90085400000001</v>
      </c>
      <c r="M268" t="s">
        <v>1594</v>
      </c>
    </row>
    <row r="269" spans="1:13" ht="27" x14ac:dyDescent="0.3">
      <c r="A269" s="252">
        <v>2024</v>
      </c>
      <c r="B269" s="242" t="s">
        <v>1088</v>
      </c>
      <c r="C269" s="242"/>
      <c r="D269" s="242" t="s">
        <v>459</v>
      </c>
      <c r="E269" s="242"/>
      <c r="F269" s="242" t="s">
        <v>686</v>
      </c>
      <c r="G269" s="242" t="s">
        <v>35</v>
      </c>
      <c r="H269" s="253">
        <v>392073.04800000001</v>
      </c>
      <c r="I269" s="242"/>
      <c r="J269" s="242"/>
      <c r="K269" s="242">
        <v>8.1159110000000005</v>
      </c>
      <c r="L269" s="242">
        <v>8.1159110000000005</v>
      </c>
      <c r="M269" t="s">
        <v>1594</v>
      </c>
    </row>
    <row r="270" spans="1:13" ht="27" x14ac:dyDescent="0.3">
      <c r="A270" s="252">
        <v>2024</v>
      </c>
      <c r="B270" s="242" t="s">
        <v>1089</v>
      </c>
      <c r="C270" s="242"/>
      <c r="D270" s="242" t="s">
        <v>459</v>
      </c>
      <c r="E270" s="242"/>
      <c r="F270" s="242" t="s">
        <v>686</v>
      </c>
      <c r="G270" s="242" t="s">
        <v>1084</v>
      </c>
      <c r="H270" s="242">
        <v>1.819</v>
      </c>
      <c r="I270" s="242"/>
      <c r="J270" s="242"/>
      <c r="K270" s="242">
        <v>1.6209999999999999E-2</v>
      </c>
      <c r="L270" s="242">
        <v>1.6209999999999999E-2</v>
      </c>
      <c r="M270" t="s">
        <v>1594</v>
      </c>
    </row>
    <row r="271" spans="1:13" ht="27" x14ac:dyDescent="0.3">
      <c r="A271" s="252">
        <v>2024</v>
      </c>
      <c r="B271" s="242" t="s">
        <v>1083</v>
      </c>
      <c r="C271" s="242"/>
      <c r="D271" s="242" t="s">
        <v>459</v>
      </c>
      <c r="E271" s="242"/>
      <c r="F271" s="242" t="s">
        <v>686</v>
      </c>
      <c r="G271" s="242" t="s">
        <v>1084</v>
      </c>
      <c r="H271" s="242">
        <v>4.806</v>
      </c>
      <c r="I271" s="242"/>
      <c r="J271" s="242"/>
      <c r="K271" s="242">
        <v>3.0810000000000001E-2</v>
      </c>
      <c r="L271" s="242">
        <v>3.0810000000000001E-2</v>
      </c>
      <c r="M271" t="s">
        <v>1594</v>
      </c>
    </row>
    <row r="272" spans="1:13" ht="27" x14ac:dyDescent="0.3">
      <c r="A272" s="296">
        <v>2024</v>
      </c>
      <c r="B272" s="297" t="s">
        <v>1092</v>
      </c>
      <c r="C272" s="297"/>
      <c r="D272" s="297" t="s">
        <v>516</v>
      </c>
      <c r="E272" s="297"/>
      <c r="F272" s="297" t="s">
        <v>686</v>
      </c>
      <c r="G272" s="297" t="s">
        <v>35</v>
      </c>
      <c r="H272" s="297">
        <v>504936.48</v>
      </c>
      <c r="I272" s="297"/>
      <c r="J272" s="297"/>
      <c r="K272" s="297">
        <v>224.946708</v>
      </c>
      <c r="L272" s="297">
        <v>146.48919599999999</v>
      </c>
      <c r="M272" s="298" t="s">
        <v>1595</v>
      </c>
    </row>
    <row r="273" spans="1:13" ht="27" x14ac:dyDescent="0.3">
      <c r="A273" s="296">
        <v>2024</v>
      </c>
      <c r="B273" s="297" t="s">
        <v>1093</v>
      </c>
      <c r="C273" s="297"/>
      <c r="D273" s="297" t="s">
        <v>516</v>
      </c>
      <c r="E273" s="297"/>
      <c r="F273" s="297" t="s">
        <v>686</v>
      </c>
      <c r="G273" s="297" t="s">
        <v>35</v>
      </c>
      <c r="H273" s="299">
        <v>398678.38799999998</v>
      </c>
      <c r="I273" s="297"/>
      <c r="J273" s="297"/>
      <c r="K273" s="297">
        <v>67.711044000000001</v>
      </c>
      <c r="L273" s="297">
        <v>67.711044000000001</v>
      </c>
      <c r="M273" s="298" t="s">
        <v>1595</v>
      </c>
    </row>
    <row r="274" spans="1:13" ht="27" x14ac:dyDescent="0.3">
      <c r="A274" s="252">
        <v>2024</v>
      </c>
      <c r="B274" s="242" t="s">
        <v>1083</v>
      </c>
      <c r="C274" s="242"/>
      <c r="D274" s="242" t="s">
        <v>836</v>
      </c>
      <c r="E274" s="242"/>
      <c r="F274" s="242" t="s">
        <v>686</v>
      </c>
      <c r="G274" s="242" t="s">
        <v>1084</v>
      </c>
      <c r="H274" s="242">
        <v>1.071</v>
      </c>
      <c r="I274" s="242"/>
      <c r="J274" s="242"/>
      <c r="K274" s="242">
        <v>6.8659999999999997E-3</v>
      </c>
      <c r="L274" s="242">
        <v>6.8659999999999997E-3</v>
      </c>
      <c r="M274" t="s">
        <v>1594</v>
      </c>
    </row>
    <row r="275" spans="1:13" ht="27" x14ac:dyDescent="0.3">
      <c r="A275" s="252">
        <v>2024</v>
      </c>
      <c r="B275" s="242" t="s">
        <v>1085</v>
      </c>
      <c r="C275" s="242"/>
      <c r="D275" s="242" t="s">
        <v>836</v>
      </c>
      <c r="E275" s="242"/>
      <c r="F275" s="242" t="s">
        <v>686</v>
      </c>
      <c r="G275" s="242" t="s">
        <v>1084</v>
      </c>
      <c r="H275" s="242">
        <v>1.603</v>
      </c>
      <c r="I275" s="242"/>
      <c r="J275" s="242"/>
      <c r="K275" s="242">
        <v>1.0274999999999999E-2</v>
      </c>
      <c r="L275" s="242">
        <v>1.0274999999999999E-2</v>
      </c>
      <c r="M275" t="s">
        <v>1594</v>
      </c>
    </row>
    <row r="276" spans="1:13" ht="27" x14ac:dyDescent="0.3">
      <c r="A276" s="252">
        <v>2024</v>
      </c>
      <c r="B276" s="242" t="s">
        <v>1087</v>
      </c>
      <c r="C276" s="242"/>
      <c r="D276" s="242" t="s">
        <v>836</v>
      </c>
      <c r="E276" s="242"/>
      <c r="F276" s="242" t="s">
        <v>686</v>
      </c>
      <c r="G276" s="242" t="s">
        <v>35</v>
      </c>
      <c r="H276" s="242">
        <v>20916.995999999999</v>
      </c>
      <c r="I276" s="242"/>
      <c r="J276" s="242"/>
      <c r="K276" s="242">
        <v>9.3184199999999997</v>
      </c>
      <c r="L276" s="242">
        <v>6.0683040000000004</v>
      </c>
      <c r="M276" t="s">
        <v>1594</v>
      </c>
    </row>
    <row r="277" spans="1:13" ht="27" x14ac:dyDescent="0.3">
      <c r="A277" s="252">
        <v>2024</v>
      </c>
      <c r="B277" s="242" t="s">
        <v>1092</v>
      </c>
      <c r="C277" s="242"/>
      <c r="D277" s="242" t="s">
        <v>836</v>
      </c>
      <c r="E277" s="242"/>
      <c r="F277" s="242" t="s">
        <v>686</v>
      </c>
      <c r="G277" s="242" t="s">
        <v>35</v>
      </c>
      <c r="H277" s="253">
        <v>31306</v>
      </c>
      <c r="I277" s="242"/>
      <c r="J277" s="242"/>
      <c r="K277" s="242">
        <v>13.946669999999999</v>
      </c>
      <c r="L277" s="242">
        <v>9.0823129999999992</v>
      </c>
      <c r="M277" t="s">
        <v>1594</v>
      </c>
    </row>
    <row r="278" spans="1:13" ht="27" x14ac:dyDescent="0.3">
      <c r="A278" s="296">
        <v>2024</v>
      </c>
      <c r="B278" s="297" t="s">
        <v>1089</v>
      </c>
      <c r="C278" s="297"/>
      <c r="D278" s="297" t="s">
        <v>836</v>
      </c>
      <c r="E278" s="297"/>
      <c r="F278" s="297" t="s">
        <v>686</v>
      </c>
      <c r="G278" s="297" t="s">
        <v>1084</v>
      </c>
      <c r="H278" s="297">
        <v>0</v>
      </c>
      <c r="I278" s="297"/>
      <c r="J278" s="297"/>
      <c r="K278" s="297">
        <v>0</v>
      </c>
      <c r="L278" s="297">
        <v>0</v>
      </c>
      <c r="M278" s="298" t="s">
        <v>1595</v>
      </c>
    </row>
    <row r="279" spans="1:13" ht="27" x14ac:dyDescent="0.3">
      <c r="A279" s="252">
        <v>2024</v>
      </c>
      <c r="B279" s="242" t="s">
        <v>1092</v>
      </c>
      <c r="C279" s="242"/>
      <c r="D279" s="242" t="s">
        <v>1097</v>
      </c>
      <c r="E279" s="242"/>
      <c r="F279" s="242" t="s">
        <v>686</v>
      </c>
      <c r="G279" s="242" t="s">
        <v>35</v>
      </c>
      <c r="H279" s="253">
        <v>1294550</v>
      </c>
      <c r="I279" s="242"/>
      <c r="J279" s="242"/>
      <c r="K279" s="242">
        <v>576.715643</v>
      </c>
      <c r="L279" s="242">
        <v>375.567207</v>
      </c>
      <c r="M279" t="s">
        <v>1594</v>
      </c>
    </row>
    <row r="280" spans="1:13" ht="27" x14ac:dyDescent="0.3">
      <c r="A280" s="252">
        <v>2024</v>
      </c>
      <c r="B280" s="242" t="s">
        <v>1093</v>
      </c>
      <c r="C280" s="242"/>
      <c r="D280" s="242" t="s">
        <v>1097</v>
      </c>
      <c r="E280" s="242"/>
      <c r="F280" s="242" t="s">
        <v>686</v>
      </c>
      <c r="G280" s="242" t="s">
        <v>35</v>
      </c>
      <c r="H280" s="242">
        <v>1107323</v>
      </c>
      <c r="I280" s="242"/>
      <c r="J280" s="242"/>
      <c r="K280" s="242">
        <v>188.06636</v>
      </c>
      <c r="L280" s="242">
        <v>188.06636</v>
      </c>
      <c r="M280" t="s">
        <v>1594</v>
      </c>
    </row>
    <row r="281" spans="1:13" ht="27" x14ac:dyDescent="0.3">
      <c r="A281" s="252">
        <v>2024</v>
      </c>
      <c r="B281" s="242" t="s">
        <v>1089</v>
      </c>
      <c r="C281" s="242"/>
      <c r="D281" s="242" t="s">
        <v>1097</v>
      </c>
      <c r="E281" s="242"/>
      <c r="F281" s="242" t="s">
        <v>686</v>
      </c>
      <c r="G281" s="242" t="s">
        <v>1084</v>
      </c>
      <c r="H281" s="242">
        <v>6.77</v>
      </c>
      <c r="I281" s="242"/>
      <c r="J281" s="242"/>
      <c r="K281" s="242">
        <v>6.0337000000000002E-2</v>
      </c>
      <c r="L281" s="242">
        <v>6.0337000000000002E-2</v>
      </c>
      <c r="M281" t="s">
        <v>1594</v>
      </c>
    </row>
    <row r="282" spans="1:13" ht="27" x14ac:dyDescent="0.3">
      <c r="A282" s="252">
        <v>2024</v>
      </c>
      <c r="B282" s="242" t="s">
        <v>1083</v>
      </c>
      <c r="C282" s="242"/>
      <c r="D282" s="242" t="s">
        <v>1097</v>
      </c>
      <c r="E282" s="242"/>
      <c r="F282" s="242" t="s">
        <v>686</v>
      </c>
      <c r="G282" s="242" t="s">
        <v>1084</v>
      </c>
      <c r="H282" s="242">
        <v>7.2</v>
      </c>
      <c r="I282" s="242"/>
      <c r="J282" s="242"/>
      <c r="K282" s="242">
        <v>4.6156999999999997E-2</v>
      </c>
      <c r="L282" s="242">
        <v>4.6156999999999997E-2</v>
      </c>
      <c r="M282" t="s">
        <v>1594</v>
      </c>
    </row>
    <row r="283" spans="1:13" ht="27" x14ac:dyDescent="0.3">
      <c r="A283" s="252">
        <v>2024</v>
      </c>
      <c r="B283" s="242" t="s">
        <v>1085</v>
      </c>
      <c r="C283" s="242"/>
      <c r="D283" s="242" t="s">
        <v>1097</v>
      </c>
      <c r="E283" s="242"/>
      <c r="F283" s="242" t="s">
        <v>686</v>
      </c>
      <c r="G283" s="242" t="s">
        <v>1084</v>
      </c>
      <c r="H283" s="242">
        <v>7.06</v>
      </c>
      <c r="I283" s="242"/>
      <c r="J283" s="242"/>
      <c r="K283" s="242">
        <v>4.5260000000000002E-2</v>
      </c>
      <c r="L283" s="242">
        <v>4.5260000000000002E-2</v>
      </c>
      <c r="M283" t="s">
        <v>1594</v>
      </c>
    </row>
    <row r="284" spans="1:13" ht="27" x14ac:dyDescent="0.3">
      <c r="A284" s="294">
        <v>2024</v>
      </c>
      <c r="B284" s="295" t="s">
        <v>1086</v>
      </c>
      <c r="C284" s="295"/>
      <c r="D284" s="295" t="s">
        <v>1097</v>
      </c>
      <c r="E284" s="295"/>
      <c r="F284" s="295" t="s">
        <v>686</v>
      </c>
      <c r="G284" s="295" t="s">
        <v>35</v>
      </c>
      <c r="H284" s="295">
        <v>1294550</v>
      </c>
      <c r="I284" s="295"/>
      <c r="J284" s="295"/>
      <c r="K284" s="295">
        <v>-576.715643</v>
      </c>
      <c r="L284" s="295"/>
      <c r="M284" t="s">
        <v>1594</v>
      </c>
    </row>
    <row r="285" spans="1:13" ht="27" x14ac:dyDescent="0.3">
      <c r="A285" s="300">
        <v>2024</v>
      </c>
      <c r="B285" s="300" t="s">
        <v>1085</v>
      </c>
      <c r="C285" s="300"/>
      <c r="D285" s="300" t="s">
        <v>839</v>
      </c>
      <c r="E285" s="300"/>
      <c r="F285" s="300" t="s">
        <v>686</v>
      </c>
      <c r="G285" s="300" t="s">
        <v>1084</v>
      </c>
      <c r="H285" s="300">
        <v>0.66</v>
      </c>
      <c r="I285" s="300"/>
      <c r="J285" s="300"/>
      <c r="K285" s="300">
        <v>4.2360000000000002E-3</v>
      </c>
      <c r="L285" s="300">
        <v>4.2360000000000002E-3</v>
      </c>
      <c r="M285" s="298" t="s">
        <v>1595</v>
      </c>
    </row>
    <row r="286" spans="1:13" ht="27" x14ac:dyDescent="0.3">
      <c r="A286" s="251">
        <v>2024</v>
      </c>
      <c r="B286" s="251" t="s">
        <v>1092</v>
      </c>
      <c r="C286" s="251"/>
      <c r="D286" s="251" t="s">
        <v>839</v>
      </c>
      <c r="E286" s="251"/>
      <c r="F286" s="251" t="s">
        <v>686</v>
      </c>
      <c r="G286" s="251" t="s">
        <v>35</v>
      </c>
      <c r="H286" s="251">
        <v>58171.98</v>
      </c>
      <c r="I286" s="251"/>
      <c r="J286" s="251"/>
      <c r="K286" s="251">
        <v>25.915329</v>
      </c>
      <c r="L286" s="251">
        <v>16.876512000000002</v>
      </c>
      <c r="M286" t="s">
        <v>1594</v>
      </c>
    </row>
    <row r="287" spans="1:13" ht="27" x14ac:dyDescent="0.3">
      <c r="A287" s="251">
        <v>2024</v>
      </c>
      <c r="B287" s="251" t="s">
        <v>1093</v>
      </c>
      <c r="C287" s="251"/>
      <c r="D287" s="251" t="s">
        <v>839</v>
      </c>
      <c r="E287" s="251"/>
      <c r="F287" s="251" t="s">
        <v>686</v>
      </c>
      <c r="G287" s="251" t="s">
        <v>35</v>
      </c>
      <c r="H287" s="251">
        <v>90248.97</v>
      </c>
      <c r="I287" s="251"/>
      <c r="J287" s="251"/>
      <c r="K287" s="251">
        <v>15.327776999999999</v>
      </c>
      <c r="L287" s="251">
        <v>15.327776999999999</v>
      </c>
      <c r="M287" t="s">
        <v>1594</v>
      </c>
    </row>
    <row r="288" spans="1:13" ht="27" x14ac:dyDescent="0.3">
      <c r="A288" s="300">
        <v>2024</v>
      </c>
      <c r="B288" s="300" t="s">
        <v>1089</v>
      </c>
      <c r="C288" s="300"/>
      <c r="D288" s="300" t="s">
        <v>839</v>
      </c>
      <c r="E288" s="300"/>
      <c r="F288" s="300" t="s">
        <v>686</v>
      </c>
      <c r="G288" s="300" t="s">
        <v>1084</v>
      </c>
      <c r="H288" s="300">
        <v>0.34799999999999998</v>
      </c>
      <c r="I288" s="300"/>
      <c r="J288" s="300"/>
      <c r="K288" s="300">
        <v>3.0959999999999998E-3</v>
      </c>
      <c r="L288" s="300">
        <v>3.0959999999999998E-3</v>
      </c>
      <c r="M288" s="298" t="s">
        <v>1595</v>
      </c>
    </row>
    <row r="289" spans="1:13" ht="27" x14ac:dyDescent="0.3">
      <c r="A289" s="300">
        <v>2024</v>
      </c>
      <c r="B289" s="300" t="s">
        <v>1083</v>
      </c>
      <c r="C289" s="300"/>
      <c r="D289" s="300" t="s">
        <v>839</v>
      </c>
      <c r="E289" s="300"/>
      <c r="F289" s="300" t="s">
        <v>686</v>
      </c>
      <c r="G289" s="300" t="s">
        <v>1084</v>
      </c>
      <c r="H289" s="300">
        <v>0.91200000000000003</v>
      </c>
      <c r="I289" s="300"/>
      <c r="J289" s="300"/>
      <c r="K289" s="300">
        <v>5.8440000000000002E-3</v>
      </c>
      <c r="L289" s="300">
        <v>5.8440000000000002E-3</v>
      </c>
      <c r="M289" s="298" t="s">
        <v>1595</v>
      </c>
    </row>
    <row r="290" spans="1:13" ht="27" x14ac:dyDescent="0.3">
      <c r="A290" s="300">
        <v>2024</v>
      </c>
      <c r="B290" s="300" t="s">
        <v>1092</v>
      </c>
      <c r="C290" s="300"/>
      <c r="D290" s="300" t="s">
        <v>514</v>
      </c>
      <c r="E290" s="300"/>
      <c r="F290" s="300" t="s">
        <v>686</v>
      </c>
      <c r="G290" s="300" t="s">
        <v>35</v>
      </c>
      <c r="H290" s="300">
        <v>124670.417</v>
      </c>
      <c r="I290" s="300"/>
      <c r="J290" s="300"/>
      <c r="K290" s="300">
        <v>55.540056999999997</v>
      </c>
      <c r="L290" s="300">
        <v>36.168647999999997</v>
      </c>
      <c r="M290" s="298" t="s">
        <v>1595</v>
      </c>
    </row>
    <row r="291" spans="1:13" ht="27" x14ac:dyDescent="0.3">
      <c r="A291" s="300">
        <v>2024</v>
      </c>
      <c r="B291" s="300" t="s">
        <v>1093</v>
      </c>
      <c r="C291" s="300"/>
      <c r="D291" s="300" t="s">
        <v>514</v>
      </c>
      <c r="E291" s="300"/>
      <c r="F291" s="300" t="s">
        <v>686</v>
      </c>
      <c r="G291" s="300" t="s">
        <v>35</v>
      </c>
      <c r="H291" s="300">
        <v>69082.536999999997</v>
      </c>
      <c r="I291" s="300"/>
      <c r="J291" s="300"/>
      <c r="K291" s="300">
        <v>11.732901999999999</v>
      </c>
      <c r="L291" s="300">
        <v>11.732901999999999</v>
      </c>
      <c r="M291" s="298" t="s">
        <v>1595</v>
      </c>
    </row>
    <row r="292" spans="1:13" ht="27" x14ac:dyDescent="0.3">
      <c r="A292" s="300">
        <v>2024</v>
      </c>
      <c r="B292" s="300" t="s">
        <v>1089</v>
      </c>
      <c r="C292" s="300"/>
      <c r="D292" s="300" t="s">
        <v>514</v>
      </c>
      <c r="E292" s="300"/>
      <c r="F292" s="300" t="s">
        <v>686</v>
      </c>
      <c r="G292" s="300" t="s">
        <v>1084</v>
      </c>
      <c r="H292" s="300">
        <v>0.28799999999999998</v>
      </c>
      <c r="I292" s="300"/>
      <c r="J292" s="300"/>
      <c r="K292" s="300">
        <v>2.568E-3</v>
      </c>
      <c r="L292" s="300">
        <v>2.568E-3</v>
      </c>
      <c r="M292" s="298" t="s">
        <v>1595</v>
      </c>
    </row>
    <row r="293" spans="1:13" ht="27" x14ac:dyDescent="0.3">
      <c r="A293" s="300">
        <v>2024</v>
      </c>
      <c r="B293" s="300" t="s">
        <v>1083</v>
      </c>
      <c r="C293" s="300"/>
      <c r="D293" s="300" t="s">
        <v>514</v>
      </c>
      <c r="E293" s="300"/>
      <c r="F293" s="300" t="s">
        <v>686</v>
      </c>
      <c r="G293" s="300" t="s">
        <v>1084</v>
      </c>
      <c r="H293" s="300">
        <v>0.75600000000000001</v>
      </c>
      <c r="I293" s="300"/>
      <c r="J293" s="300"/>
      <c r="K293" s="300">
        <v>4.8479999999999999E-3</v>
      </c>
      <c r="L293" s="300">
        <v>4.8479999999999999E-3</v>
      </c>
      <c r="M293" s="298" t="s">
        <v>1595</v>
      </c>
    </row>
    <row r="294" spans="1:13" ht="27" x14ac:dyDescent="0.3">
      <c r="A294" s="300">
        <v>2024</v>
      </c>
      <c r="B294" s="300" t="s">
        <v>1085</v>
      </c>
      <c r="C294" s="300"/>
      <c r="D294" s="300" t="s">
        <v>514</v>
      </c>
      <c r="E294" s="300"/>
      <c r="F294" s="300" t="s">
        <v>686</v>
      </c>
      <c r="G294" s="300" t="s">
        <v>1084</v>
      </c>
      <c r="H294" s="300">
        <v>0.54</v>
      </c>
      <c r="I294" s="300"/>
      <c r="J294" s="300"/>
      <c r="K294" s="300">
        <v>3.4559999999999999E-3</v>
      </c>
      <c r="L294" s="300">
        <v>3.4559999999999999E-3</v>
      </c>
      <c r="M294" s="298" t="s">
        <v>1595</v>
      </c>
    </row>
    <row r="295" spans="1:13" ht="27" hidden="1" x14ac:dyDescent="0.3">
      <c r="A295" s="251">
        <v>2024</v>
      </c>
      <c r="B295" s="251" t="s">
        <v>1080</v>
      </c>
      <c r="C295" s="251"/>
      <c r="D295" s="251" t="s">
        <v>837</v>
      </c>
      <c r="E295" s="251"/>
      <c r="F295" s="251" t="s">
        <v>1081</v>
      </c>
      <c r="G295" s="251" t="s">
        <v>35</v>
      </c>
      <c r="H295" s="251">
        <v>84234</v>
      </c>
      <c r="I295" s="251"/>
      <c r="J295" s="251"/>
      <c r="K295" s="251">
        <v>37.525832000000001</v>
      </c>
      <c r="L295" s="251">
        <v>24.437469</v>
      </c>
      <c r="M295" t="s">
        <v>1594</v>
      </c>
    </row>
    <row r="296" spans="1:13" hidden="1" x14ac:dyDescent="0.3">
      <c r="A296" s="251">
        <v>2024</v>
      </c>
      <c r="B296" s="251" t="s">
        <v>1082</v>
      </c>
      <c r="C296" s="251"/>
      <c r="D296" s="251" t="s">
        <v>837</v>
      </c>
      <c r="E296" s="251"/>
      <c r="F296" s="251" t="s">
        <v>1081</v>
      </c>
      <c r="G296" s="251" t="s">
        <v>35</v>
      </c>
      <c r="H296" s="293">
        <v>84234</v>
      </c>
      <c r="I296" s="251"/>
      <c r="J296" s="251"/>
      <c r="K296" s="251">
        <v>-37.525832000000001</v>
      </c>
      <c r="L296" s="251"/>
      <c r="M296" t="s">
        <v>1594</v>
      </c>
    </row>
    <row r="297" spans="1:13" ht="27" x14ac:dyDescent="0.3">
      <c r="A297" s="300">
        <v>2024</v>
      </c>
      <c r="B297" s="300" t="s">
        <v>1093</v>
      </c>
      <c r="C297" s="300"/>
      <c r="D297" s="300" t="s">
        <v>837</v>
      </c>
      <c r="E297" s="300"/>
      <c r="F297" s="300" t="s">
        <v>686</v>
      </c>
      <c r="G297" s="300" t="s">
        <v>35</v>
      </c>
      <c r="H297" s="300">
        <v>1307940</v>
      </c>
      <c r="I297" s="300"/>
      <c r="J297" s="300"/>
      <c r="K297" s="300">
        <v>222.13890000000001</v>
      </c>
      <c r="L297" s="300">
        <v>222.13890000000001</v>
      </c>
      <c r="M297" s="298" t="s">
        <v>1595</v>
      </c>
    </row>
    <row r="298" spans="1:13" ht="27" x14ac:dyDescent="0.3">
      <c r="A298" s="296">
        <v>2024</v>
      </c>
      <c r="B298" s="297" t="s">
        <v>1089</v>
      </c>
      <c r="C298" s="297"/>
      <c r="D298" s="297" t="s">
        <v>837</v>
      </c>
      <c r="E298" s="297"/>
      <c r="F298" s="297" t="s">
        <v>686</v>
      </c>
      <c r="G298" s="297" t="s">
        <v>1084</v>
      </c>
      <c r="H298" s="299">
        <v>7.5179999999999998</v>
      </c>
      <c r="I298" s="297"/>
      <c r="J298" s="297"/>
      <c r="K298" s="297">
        <v>6.7002999999999993E-2</v>
      </c>
      <c r="L298" s="297">
        <v>6.7002999999999993E-2</v>
      </c>
      <c r="M298" s="298" t="s">
        <v>1595</v>
      </c>
    </row>
    <row r="299" spans="1:13" ht="27" x14ac:dyDescent="0.3">
      <c r="A299" s="296">
        <v>2024</v>
      </c>
      <c r="B299" s="297" t="s">
        <v>1083</v>
      </c>
      <c r="C299" s="297"/>
      <c r="D299" s="297" t="s">
        <v>837</v>
      </c>
      <c r="E299" s="297"/>
      <c r="F299" s="297" t="s">
        <v>686</v>
      </c>
      <c r="G299" s="297" t="s">
        <v>1084</v>
      </c>
      <c r="H299" s="297">
        <v>26.527999999999999</v>
      </c>
      <c r="I299" s="297"/>
      <c r="J299" s="297"/>
      <c r="K299" s="297">
        <v>0.17006099999999999</v>
      </c>
      <c r="L299" s="297">
        <v>0.17006099999999999</v>
      </c>
      <c r="M299" s="298" t="s">
        <v>1595</v>
      </c>
    </row>
    <row r="300" spans="1:13" ht="27" x14ac:dyDescent="0.3">
      <c r="A300" s="296">
        <v>2024</v>
      </c>
      <c r="B300" s="297" t="s">
        <v>1085</v>
      </c>
      <c r="C300" s="297"/>
      <c r="D300" s="297" t="s">
        <v>837</v>
      </c>
      <c r="E300" s="297"/>
      <c r="F300" s="297" t="s">
        <v>686</v>
      </c>
      <c r="G300" s="297" t="s">
        <v>1084</v>
      </c>
      <c r="H300" s="297">
        <v>61.668999999999997</v>
      </c>
      <c r="I300" s="297"/>
      <c r="J300" s="297"/>
      <c r="K300" s="297">
        <v>0.39533499999999999</v>
      </c>
      <c r="L300" s="297">
        <v>0.39533499999999999</v>
      </c>
      <c r="M300" s="298" t="s">
        <v>1595</v>
      </c>
    </row>
    <row r="301" spans="1:13" x14ac:dyDescent="0.3">
      <c r="A301" s="296">
        <v>2024</v>
      </c>
      <c r="B301" s="297" t="s">
        <v>1090</v>
      </c>
      <c r="C301" s="297"/>
      <c r="D301" s="297" t="s">
        <v>837</v>
      </c>
      <c r="E301" s="297"/>
      <c r="F301" s="297" t="s">
        <v>686</v>
      </c>
      <c r="G301" s="297" t="s">
        <v>35</v>
      </c>
      <c r="H301" s="299">
        <v>79965</v>
      </c>
      <c r="I301" s="297"/>
      <c r="J301" s="297"/>
      <c r="K301" s="297">
        <v>3.7663530000000001</v>
      </c>
      <c r="L301" s="297">
        <v>3.7663530000000001</v>
      </c>
      <c r="M301" s="298" t="s">
        <v>1595</v>
      </c>
    </row>
    <row r="302" spans="1:13" ht="27" x14ac:dyDescent="0.3">
      <c r="A302" s="296">
        <v>2024</v>
      </c>
      <c r="B302" s="297" t="s">
        <v>1087</v>
      </c>
      <c r="C302" s="297"/>
      <c r="D302" s="297" t="s">
        <v>837</v>
      </c>
      <c r="E302" s="297"/>
      <c r="F302" s="297" t="s">
        <v>686</v>
      </c>
      <c r="G302" s="297" t="s">
        <v>35</v>
      </c>
      <c r="H302" s="297">
        <v>486081.10800000001</v>
      </c>
      <c r="I302" s="297"/>
      <c r="J302" s="297"/>
      <c r="K302" s="297">
        <v>216.54673199999999</v>
      </c>
      <c r="L302" s="297">
        <v>141.01898399999999</v>
      </c>
      <c r="M302" s="298" t="s">
        <v>1595</v>
      </c>
    </row>
    <row r="303" spans="1:13" ht="27" x14ac:dyDescent="0.3">
      <c r="A303" s="296">
        <v>2024</v>
      </c>
      <c r="B303" s="297" t="s">
        <v>1088</v>
      </c>
      <c r="C303" s="297"/>
      <c r="D303" s="297" t="s">
        <v>837</v>
      </c>
      <c r="E303" s="297"/>
      <c r="F303" s="297" t="s">
        <v>686</v>
      </c>
      <c r="G303" s="297" t="s">
        <v>35</v>
      </c>
      <c r="H303" s="297">
        <v>79965</v>
      </c>
      <c r="I303" s="297"/>
      <c r="J303" s="297"/>
      <c r="K303" s="297">
        <v>1.6552750000000001</v>
      </c>
      <c r="L303" s="297">
        <v>1.6552750000000001</v>
      </c>
      <c r="M303" s="298" t="s">
        <v>1595</v>
      </c>
    </row>
  </sheetData>
  <pageMargins left="0.7" right="0.7" top="0.75" bottom="0.75" header="0.3" footer="0.3"/>
  <legacyDrawing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9815-373B-4278-8797-76606A9708E9}">
  <sheetPr codeName="Sheet5">
    <tabColor rgb="FFFF0000"/>
  </sheetPr>
  <dimension ref="A1:AN132"/>
  <sheetViews>
    <sheetView zoomScale="80" zoomScaleNormal="80" workbookViewId="0">
      <pane xSplit="1" ySplit="5" topLeftCell="Q6" activePane="bottomRight" state="frozen"/>
      <selection pane="topRight" activeCell="D9" sqref="D9"/>
      <selection pane="bottomLeft" activeCell="D9" sqref="D9"/>
      <selection pane="bottomRight" activeCell="Z8" sqref="Z8"/>
    </sheetView>
  </sheetViews>
  <sheetFormatPr defaultColWidth="9.109375" defaultRowHeight="13.2" x14ac:dyDescent="0.25"/>
  <cols>
    <col min="1" max="1" width="9" style="26" customWidth="1"/>
    <col min="2" max="2" width="20.77734375" style="26" bestFit="1" customWidth="1"/>
    <col min="3" max="3" width="16.5546875" style="26" customWidth="1"/>
    <col min="4" max="4" width="9.21875" style="26" customWidth="1"/>
    <col min="5" max="5" width="15.77734375" style="26" customWidth="1"/>
    <col min="6" max="6" width="13.5546875" style="26" customWidth="1"/>
    <col min="7" max="7" width="9.21875" style="26" customWidth="1"/>
    <col min="8" max="8" width="11.88671875" style="26" customWidth="1"/>
    <col min="9" max="11" width="17.21875" style="26" customWidth="1"/>
    <col min="12" max="12" width="14.5546875" style="26" customWidth="1"/>
    <col min="13" max="13" width="19.77734375" style="26" customWidth="1"/>
    <col min="14" max="14" width="16.109375" style="26" customWidth="1"/>
    <col min="15" max="16" width="17.5546875" style="26" customWidth="1"/>
    <col min="17" max="18" width="14.88671875" style="26" customWidth="1"/>
    <col min="19" max="20" width="18.88671875" style="26" customWidth="1"/>
    <col min="21" max="26" width="18.44140625" style="26" customWidth="1"/>
    <col min="27" max="28" width="10.5546875" style="26" customWidth="1"/>
    <col min="29" max="29" width="9.109375" style="26"/>
    <col min="30" max="34" width="11.44140625" style="26" customWidth="1"/>
    <col min="35" max="36" width="25.5546875" style="26" customWidth="1"/>
    <col min="37" max="16384" width="9.109375" style="26"/>
  </cols>
  <sheetData>
    <row r="1" spans="1:40" s="18" customFormat="1" ht="81" customHeight="1" x14ac:dyDescent="0.25">
      <c r="B1" s="19" t="s">
        <v>372</v>
      </c>
      <c r="C1" s="19" t="s">
        <v>373</v>
      </c>
      <c r="D1" s="19" t="s">
        <v>280</v>
      </c>
      <c r="E1" s="19" t="s">
        <v>374</v>
      </c>
      <c r="F1" s="19" t="s">
        <v>375</v>
      </c>
      <c r="G1" s="19" t="s">
        <v>376</v>
      </c>
      <c r="H1" s="19" t="s">
        <v>377</v>
      </c>
      <c r="I1" s="19" t="s">
        <v>378</v>
      </c>
      <c r="J1" s="19" t="s">
        <v>379</v>
      </c>
      <c r="K1" s="19" t="s">
        <v>380</v>
      </c>
      <c r="L1" s="19" t="s">
        <v>381</v>
      </c>
      <c r="M1" s="19" t="s">
        <v>147</v>
      </c>
      <c r="N1" s="19" t="s">
        <v>382</v>
      </c>
      <c r="O1" s="19" t="s">
        <v>383</v>
      </c>
      <c r="P1" s="19"/>
      <c r="Q1" s="20"/>
      <c r="R1" s="21" t="s">
        <v>280</v>
      </c>
      <c r="S1" s="843" t="s">
        <v>384</v>
      </c>
      <c r="T1" s="844"/>
      <c r="U1" s="22" t="s">
        <v>385</v>
      </c>
      <c r="V1" s="22" t="s">
        <v>386</v>
      </c>
      <c r="W1" s="22" t="s">
        <v>387</v>
      </c>
      <c r="X1" s="22" t="s">
        <v>379</v>
      </c>
      <c r="Y1" s="22" t="s">
        <v>388</v>
      </c>
      <c r="Z1" s="19" t="s">
        <v>389</v>
      </c>
      <c r="AA1" s="841" t="s">
        <v>390</v>
      </c>
      <c r="AB1" s="841"/>
      <c r="AC1" s="842"/>
      <c r="AD1" s="841" t="s">
        <v>391</v>
      </c>
      <c r="AE1" s="841"/>
      <c r="AF1" s="842"/>
      <c r="AG1" s="22" t="s">
        <v>392</v>
      </c>
      <c r="AH1" s="22" t="s">
        <v>393</v>
      </c>
      <c r="AI1" s="22" t="s">
        <v>394</v>
      </c>
      <c r="AJ1" s="154" t="s">
        <v>395</v>
      </c>
      <c r="AK1" s="20"/>
      <c r="AL1" s="20"/>
      <c r="AM1" s="20"/>
      <c r="AN1" s="20"/>
    </row>
    <row r="2" spans="1:40" s="18" customFormat="1" ht="22.5" customHeight="1" x14ac:dyDescent="0.25">
      <c r="B2" s="19"/>
      <c r="C2" s="19"/>
      <c r="D2" s="19"/>
      <c r="E2" s="19"/>
      <c r="F2" s="19"/>
      <c r="G2" s="19"/>
      <c r="H2" s="19"/>
      <c r="I2" s="19"/>
      <c r="J2" s="19"/>
      <c r="K2" s="19"/>
      <c r="L2" s="19"/>
      <c r="M2" s="19"/>
      <c r="N2" s="19"/>
      <c r="O2" s="19"/>
      <c r="P2" s="19"/>
      <c r="Q2" s="20"/>
      <c r="R2" s="149"/>
      <c r="S2" s="149"/>
      <c r="T2" s="149"/>
      <c r="U2" s="150"/>
      <c r="V2" s="150"/>
      <c r="W2" s="152"/>
      <c r="X2" s="153"/>
      <c r="Y2" s="153" t="s">
        <v>362</v>
      </c>
      <c r="Z2" s="150"/>
      <c r="AA2" s="151"/>
      <c r="AB2" s="151"/>
      <c r="AC2" s="151"/>
      <c r="AD2" s="151"/>
      <c r="AE2" s="151"/>
      <c r="AF2" s="151"/>
      <c r="AG2" s="151"/>
      <c r="AH2" s="151"/>
      <c r="AI2" s="150"/>
      <c r="AJ2" s="154"/>
      <c r="AK2" s="20"/>
      <c r="AL2" s="20"/>
      <c r="AM2" s="20"/>
      <c r="AN2" s="20"/>
    </row>
    <row r="3" spans="1:40" s="18" customFormat="1" ht="35.25" customHeight="1" x14ac:dyDescent="0.25">
      <c r="B3" s="23"/>
      <c r="C3" s="23"/>
      <c r="D3" s="23"/>
      <c r="E3" s="23"/>
      <c r="F3" s="23" t="s">
        <v>396</v>
      </c>
      <c r="G3" s="23" t="s">
        <v>397</v>
      </c>
      <c r="H3" s="23" t="s">
        <v>191</v>
      </c>
      <c r="I3" s="23" t="s">
        <v>191</v>
      </c>
      <c r="J3" s="23" t="s">
        <v>191</v>
      </c>
      <c r="K3" s="23" t="s">
        <v>191</v>
      </c>
      <c r="L3" s="23" t="s">
        <v>398</v>
      </c>
      <c r="M3" s="23" t="s">
        <v>399</v>
      </c>
      <c r="N3" s="23" t="s">
        <v>400</v>
      </c>
      <c r="O3" s="23"/>
      <c r="P3" s="23"/>
      <c r="Q3" s="20"/>
      <c r="R3" s="24" t="s">
        <v>401</v>
      </c>
      <c r="S3" s="24" t="s">
        <v>402</v>
      </c>
      <c r="T3" s="24" t="s">
        <v>401</v>
      </c>
      <c r="U3" s="25" t="s">
        <v>403</v>
      </c>
      <c r="V3" s="25" t="s">
        <v>404</v>
      </c>
      <c r="W3" s="22" t="s">
        <v>405</v>
      </c>
      <c r="X3" s="22" t="s">
        <v>405</v>
      </c>
      <c r="Y3" s="22" t="s">
        <v>405</v>
      </c>
      <c r="Z3" s="25" t="s">
        <v>406</v>
      </c>
      <c r="AA3" s="25" t="s">
        <v>407</v>
      </c>
      <c r="AB3" s="25" t="s">
        <v>408</v>
      </c>
      <c r="AC3" s="25" t="s">
        <v>409</v>
      </c>
      <c r="AD3" s="25" t="s">
        <v>407</v>
      </c>
      <c r="AE3" s="25" t="s">
        <v>408</v>
      </c>
      <c r="AF3" s="25" t="s">
        <v>409</v>
      </c>
      <c r="AG3" s="25" t="s">
        <v>410</v>
      </c>
      <c r="AH3" s="25" t="s">
        <v>410</v>
      </c>
      <c r="AI3" s="25" t="s">
        <v>411</v>
      </c>
      <c r="AJ3" s="155" t="s">
        <v>412</v>
      </c>
      <c r="AK3" s="20"/>
      <c r="AL3" s="20"/>
      <c r="AM3" s="20"/>
      <c r="AN3" s="20"/>
    </row>
    <row r="4" spans="1:40" x14ac:dyDescent="0.25">
      <c r="Q4" s="27"/>
      <c r="R4" s="170">
        <f>U18</f>
        <v>21</v>
      </c>
      <c r="S4" s="28">
        <f>SUMIF(D5:D36,"female",A5:A36)/U20</f>
        <v>0.34375</v>
      </c>
      <c r="T4" s="170">
        <f>U20</f>
        <v>32</v>
      </c>
      <c r="U4" s="29">
        <f>((SUMIF(D5:D36,"Male",F5:F36)/U18)/(SUMIF(D5:D36,"Female",F5:F36)/U19))</f>
        <v>1.5594772429726607</v>
      </c>
      <c r="V4" s="159">
        <f>SUM(L5:L36)/SUM(A5:A36)</f>
        <v>23.296875</v>
      </c>
      <c r="W4" s="159">
        <f>SUM(I5:I36)</f>
        <v>44</v>
      </c>
      <c r="X4" s="159">
        <f>SUM(J5:J36)</f>
        <v>21</v>
      </c>
      <c r="Y4" s="159">
        <f>SUM(K5:K36)</f>
        <v>23</v>
      </c>
      <c r="Z4" s="29">
        <f>M38/U22</f>
        <v>0.88</v>
      </c>
      <c r="AA4" s="160">
        <v>6</v>
      </c>
      <c r="AB4" s="160">
        <v>1</v>
      </c>
      <c r="AC4" s="29">
        <f>(AA4+AB4)/SUM(A5:A36)</f>
        <v>0.21875</v>
      </c>
      <c r="AD4" s="160">
        <f>SUMIF(D41:D46,"Male",A41:A46)</f>
        <v>4</v>
      </c>
      <c r="AE4" s="160">
        <f>SUMIF(D41:D47,"Female",A41:A47)</f>
        <v>2</v>
      </c>
      <c r="AF4" s="29">
        <f>(AD4+AE4)/SUM(A5:A36)</f>
        <v>0.1875</v>
      </c>
      <c r="AG4" s="170">
        <v>2</v>
      </c>
      <c r="AH4" s="170">
        <v>4</v>
      </c>
      <c r="AI4" s="161">
        <f>N38/(SUM(A5:A36)*260)</f>
        <v>3.3052884615384615E-3</v>
      </c>
      <c r="AJ4" s="156"/>
    </row>
    <row r="5" spans="1:40" ht="14.4" x14ac:dyDescent="0.3">
      <c r="A5" s="26">
        <v>1</v>
      </c>
      <c r="B5" s="167" t="s">
        <v>413</v>
      </c>
      <c r="C5" s="167" t="s">
        <v>285</v>
      </c>
      <c r="D5" s="167" t="s">
        <v>157</v>
      </c>
      <c r="E5" s="167" t="s">
        <v>414</v>
      </c>
      <c r="F5" s="168">
        <v>235833</v>
      </c>
      <c r="G5" s="32">
        <v>0</v>
      </c>
      <c r="H5" s="53">
        <v>27</v>
      </c>
      <c r="I5" s="167">
        <v>2</v>
      </c>
      <c r="J5" s="53">
        <v>0.5</v>
      </c>
      <c r="K5" s="53">
        <v>1</v>
      </c>
      <c r="L5" s="32">
        <f>SUM(H5:K5)</f>
        <v>30.5</v>
      </c>
      <c r="M5" s="53" t="s">
        <v>414</v>
      </c>
      <c r="N5" s="53">
        <v>1</v>
      </c>
      <c r="O5" s="53">
        <v>44</v>
      </c>
      <c r="Q5" s="27"/>
      <c r="R5" s="171"/>
      <c r="S5" s="34"/>
      <c r="T5" s="34"/>
      <c r="U5" s="35"/>
      <c r="V5" s="30"/>
      <c r="W5" s="30">
        <f>W4/U20</f>
        <v>1.375</v>
      </c>
      <c r="X5" s="219">
        <f>X4/U20</f>
        <v>0.65625</v>
      </c>
      <c r="Y5" s="219">
        <f>Y4/U20</f>
        <v>0.71875</v>
      </c>
      <c r="Z5" s="30"/>
      <c r="AA5" s="30"/>
      <c r="AB5" s="30"/>
      <c r="AC5" s="30"/>
      <c r="AD5" s="30"/>
      <c r="AE5" s="30"/>
      <c r="AF5" s="30"/>
      <c r="AG5" s="30"/>
      <c r="AH5" s="30"/>
      <c r="AI5" s="30"/>
      <c r="AJ5" s="157"/>
    </row>
    <row r="6" spans="1:40" ht="14.4" x14ac:dyDescent="0.3">
      <c r="A6" s="26">
        <v>1</v>
      </c>
      <c r="B6" s="167" t="s">
        <v>413</v>
      </c>
      <c r="C6" s="53" t="s">
        <v>415</v>
      </c>
      <c r="D6" s="53" t="s">
        <v>157</v>
      </c>
      <c r="E6" s="53" t="s">
        <v>416</v>
      </c>
      <c r="F6" s="169">
        <v>235833</v>
      </c>
      <c r="G6" s="32">
        <v>0</v>
      </c>
      <c r="H6" s="53">
        <v>0</v>
      </c>
      <c r="I6" s="167">
        <v>0</v>
      </c>
      <c r="J6" s="53">
        <v>0</v>
      </c>
      <c r="K6" s="53">
        <v>0</v>
      </c>
      <c r="L6" s="32">
        <f t="shared" ref="L6:L36" si="0">SUM(H6:K6)</f>
        <v>0</v>
      </c>
      <c r="M6" s="53" t="s">
        <v>414</v>
      </c>
      <c r="N6" s="53"/>
      <c r="O6" s="53">
        <v>53</v>
      </c>
      <c r="Q6" s="27"/>
      <c r="R6" s="172">
        <f>U19</f>
        <v>11</v>
      </c>
      <c r="S6" s="37">
        <f>SUMIF(D5:D12,"Female",A5:A12)/8</f>
        <v>0.25</v>
      </c>
      <c r="T6" s="172">
        <v>8</v>
      </c>
      <c r="U6" s="38">
        <f>((SUMIF(D5:D12,"Male",F5:F12)/6)/(SUMIF(D5:D12,"Female",F5:F12)/2))</f>
        <v>1.2922356164383562</v>
      </c>
      <c r="V6" s="31"/>
      <c r="W6" s="31"/>
      <c r="X6" s="31"/>
      <c r="Y6" s="31"/>
      <c r="Z6" s="31"/>
      <c r="AA6" s="31"/>
      <c r="AB6" s="31"/>
      <c r="AC6" s="31"/>
      <c r="AD6" s="31"/>
      <c r="AE6" s="31"/>
      <c r="AF6" s="31"/>
      <c r="AG6" s="31"/>
      <c r="AH6" s="31"/>
      <c r="AI6" s="31"/>
      <c r="AJ6" s="27"/>
    </row>
    <row r="7" spans="1:40" ht="14.4" x14ac:dyDescent="0.3">
      <c r="A7" s="26">
        <v>1</v>
      </c>
      <c r="B7" s="167" t="s">
        <v>231</v>
      </c>
      <c r="C7" s="167" t="s">
        <v>284</v>
      </c>
      <c r="D7" s="167" t="s">
        <v>157</v>
      </c>
      <c r="E7" s="167" t="s">
        <v>414</v>
      </c>
      <c r="F7" s="168">
        <v>235833</v>
      </c>
      <c r="G7" s="32">
        <v>0</v>
      </c>
      <c r="H7" s="53">
        <v>29</v>
      </c>
      <c r="I7" s="167">
        <v>3</v>
      </c>
      <c r="J7" s="53">
        <v>0.5</v>
      </c>
      <c r="K7" s="53">
        <v>1</v>
      </c>
      <c r="L7" s="32">
        <f t="shared" si="0"/>
        <v>33.5</v>
      </c>
      <c r="M7" s="53">
        <v>1</v>
      </c>
      <c r="N7" s="53"/>
      <c r="O7" s="53">
        <v>49</v>
      </c>
      <c r="Q7" s="27"/>
      <c r="R7" s="31"/>
      <c r="S7" s="31"/>
      <c r="T7" s="31"/>
      <c r="U7" s="31"/>
      <c r="V7" s="31"/>
      <c r="W7" s="31"/>
      <c r="X7" s="31"/>
      <c r="Y7" s="31"/>
      <c r="Z7" s="31"/>
      <c r="AA7" s="31"/>
      <c r="AB7" s="31"/>
      <c r="AC7" s="31"/>
      <c r="AD7" s="31"/>
      <c r="AE7" s="31"/>
      <c r="AF7" s="31"/>
      <c r="AG7" s="31"/>
      <c r="AH7" s="31"/>
      <c r="AI7" s="31"/>
      <c r="AJ7" s="27"/>
    </row>
    <row r="8" spans="1:40" ht="14.4" x14ac:dyDescent="0.3">
      <c r="A8" s="26">
        <v>1</v>
      </c>
      <c r="B8" s="167" t="s">
        <v>231</v>
      </c>
      <c r="C8" s="167" t="s">
        <v>417</v>
      </c>
      <c r="D8" s="167" t="s">
        <v>155</v>
      </c>
      <c r="E8" s="167" t="s">
        <v>414</v>
      </c>
      <c r="F8" s="168">
        <v>182500</v>
      </c>
      <c r="G8" s="32">
        <v>0</v>
      </c>
      <c r="H8" s="53">
        <v>15.5</v>
      </c>
      <c r="I8" s="167">
        <v>0</v>
      </c>
      <c r="J8" s="53">
        <v>0.5</v>
      </c>
      <c r="K8" s="53">
        <v>0</v>
      </c>
      <c r="L8" s="32">
        <f t="shared" si="0"/>
        <v>16</v>
      </c>
      <c r="M8" s="53">
        <v>1</v>
      </c>
      <c r="N8" s="53"/>
      <c r="O8" s="53">
        <v>39</v>
      </c>
      <c r="R8" s="36"/>
      <c r="S8" s="36"/>
      <c r="T8" s="36"/>
      <c r="U8" s="36"/>
      <c r="V8" s="36"/>
      <c r="W8" s="36"/>
      <c r="X8" s="36"/>
      <c r="Y8" s="36"/>
      <c r="Z8" s="36"/>
      <c r="AA8" s="36"/>
      <c r="AB8" s="36"/>
      <c r="AC8" s="36"/>
      <c r="AD8" s="36"/>
      <c r="AE8" s="36"/>
      <c r="AF8" s="36"/>
      <c r="AG8" s="36"/>
      <c r="AH8" s="36"/>
      <c r="AI8" s="36"/>
    </row>
    <row r="9" spans="1:40" ht="14.4" x14ac:dyDescent="0.3">
      <c r="A9" s="26">
        <v>1</v>
      </c>
      <c r="B9" s="167" t="s">
        <v>231</v>
      </c>
      <c r="C9" s="167" t="s">
        <v>290</v>
      </c>
      <c r="D9" s="167" t="s">
        <v>157</v>
      </c>
      <c r="E9" s="167" t="s">
        <v>414</v>
      </c>
      <c r="F9" s="168">
        <v>235833</v>
      </c>
      <c r="G9" s="32">
        <v>0</v>
      </c>
      <c r="H9" s="53">
        <v>120.5</v>
      </c>
      <c r="I9" s="167">
        <v>3</v>
      </c>
      <c r="J9" s="53">
        <v>0.5</v>
      </c>
      <c r="K9" s="53">
        <v>1</v>
      </c>
      <c r="L9" s="32">
        <f t="shared" si="0"/>
        <v>125</v>
      </c>
      <c r="M9" s="53">
        <v>1</v>
      </c>
      <c r="N9" s="53"/>
      <c r="O9" s="53">
        <v>50</v>
      </c>
      <c r="R9" s="36"/>
      <c r="S9" s="36"/>
      <c r="T9" s="36"/>
      <c r="U9" s="36"/>
      <c r="V9" s="36"/>
      <c r="W9" s="36"/>
      <c r="X9" s="36"/>
      <c r="Y9" s="36"/>
      <c r="Z9" s="36"/>
      <c r="AA9" s="36"/>
      <c r="AB9" s="36"/>
      <c r="AC9" s="36"/>
      <c r="AD9" s="36"/>
      <c r="AE9" s="36"/>
      <c r="AF9" s="36"/>
      <c r="AG9" s="36"/>
      <c r="AH9" s="36"/>
      <c r="AI9" s="36"/>
    </row>
    <row r="10" spans="1:40" ht="13.5" customHeight="1" x14ac:dyDescent="0.3">
      <c r="A10" s="26">
        <v>1</v>
      </c>
      <c r="B10" s="167" t="s">
        <v>231</v>
      </c>
      <c r="C10" s="167" t="s">
        <v>299</v>
      </c>
      <c r="D10" s="167" t="s">
        <v>157</v>
      </c>
      <c r="E10" s="167" t="s">
        <v>414</v>
      </c>
      <c r="F10" s="168">
        <v>235833</v>
      </c>
      <c r="G10" s="32">
        <v>0</v>
      </c>
      <c r="H10" s="53">
        <v>33.5</v>
      </c>
      <c r="I10" s="167">
        <v>3</v>
      </c>
      <c r="J10" s="53">
        <v>0.5</v>
      </c>
      <c r="K10" s="53">
        <v>1</v>
      </c>
      <c r="L10" s="32">
        <f t="shared" si="0"/>
        <v>38</v>
      </c>
      <c r="M10" s="53">
        <v>1</v>
      </c>
      <c r="N10" s="53"/>
      <c r="O10" s="53">
        <v>42</v>
      </c>
      <c r="Q10" s="39" t="s">
        <v>418</v>
      </c>
      <c r="R10" s="40" t="s">
        <v>157</v>
      </c>
      <c r="S10" s="40" t="s">
        <v>419</v>
      </c>
      <c r="T10" s="40" t="s">
        <v>419</v>
      </c>
      <c r="U10" s="40" t="s">
        <v>419</v>
      </c>
      <c r="V10" s="41" t="s">
        <v>419</v>
      </c>
      <c r="W10" s="41" t="s">
        <v>419</v>
      </c>
      <c r="X10" s="41" t="s">
        <v>419</v>
      </c>
      <c r="Y10" s="41" t="s">
        <v>419</v>
      </c>
      <c r="Z10" s="41" t="s">
        <v>419</v>
      </c>
      <c r="AA10" s="41" t="s">
        <v>419</v>
      </c>
      <c r="AB10" s="41" t="s">
        <v>419</v>
      </c>
      <c r="AC10" s="41" t="s">
        <v>419</v>
      </c>
      <c r="AD10" s="41"/>
      <c r="AE10" s="41"/>
      <c r="AF10" s="41"/>
      <c r="AG10" s="41"/>
      <c r="AH10" s="41"/>
      <c r="AI10" s="41"/>
      <c r="AJ10" s="41" t="s">
        <v>419</v>
      </c>
    </row>
    <row r="11" spans="1:40" ht="14.4" x14ac:dyDescent="0.3">
      <c r="A11" s="26">
        <v>1</v>
      </c>
      <c r="B11" s="167" t="s">
        <v>231</v>
      </c>
      <c r="C11" s="167" t="s">
        <v>293</v>
      </c>
      <c r="D11" s="167" t="s">
        <v>157</v>
      </c>
      <c r="E11" s="167" t="s">
        <v>414</v>
      </c>
      <c r="F11" s="168">
        <v>235833</v>
      </c>
      <c r="G11" s="32">
        <v>0</v>
      </c>
      <c r="H11" s="53">
        <v>35.5</v>
      </c>
      <c r="I11" s="167">
        <v>1</v>
      </c>
      <c r="J11" s="53">
        <v>0.5</v>
      </c>
      <c r="K11" s="53">
        <v>1</v>
      </c>
      <c r="L11" s="32">
        <f t="shared" si="0"/>
        <v>38</v>
      </c>
      <c r="M11" s="53">
        <v>1</v>
      </c>
      <c r="N11" s="53"/>
      <c r="O11" s="53">
        <v>39</v>
      </c>
      <c r="Q11" s="39"/>
      <c r="R11" s="41"/>
      <c r="S11" s="41"/>
      <c r="T11" s="41"/>
      <c r="U11" s="41"/>
      <c r="V11" s="41"/>
      <c r="W11" s="41"/>
      <c r="X11" s="41"/>
      <c r="Y11" s="41"/>
      <c r="Z11" s="41"/>
      <c r="AA11" s="41"/>
      <c r="AB11" s="41"/>
      <c r="AC11" s="41"/>
      <c r="AD11" s="41"/>
      <c r="AE11" s="41"/>
      <c r="AF11" s="41"/>
      <c r="AG11" s="41"/>
      <c r="AH11" s="41"/>
      <c r="AI11" s="41"/>
      <c r="AJ11" s="158"/>
    </row>
    <row r="12" spans="1:40" ht="14.4" x14ac:dyDescent="0.3">
      <c r="A12" s="26">
        <v>1</v>
      </c>
      <c r="B12" s="167" t="s">
        <v>231</v>
      </c>
      <c r="C12" s="167" t="s">
        <v>302</v>
      </c>
      <c r="D12" s="167" t="s">
        <v>155</v>
      </c>
      <c r="E12" s="167" t="s">
        <v>414</v>
      </c>
      <c r="F12" s="168">
        <v>182500</v>
      </c>
      <c r="G12" s="32">
        <v>0</v>
      </c>
      <c r="H12" s="53">
        <v>28</v>
      </c>
      <c r="I12" s="167">
        <v>2</v>
      </c>
      <c r="J12" s="53">
        <v>2.5</v>
      </c>
      <c r="K12" s="53">
        <v>1</v>
      </c>
      <c r="L12" s="32">
        <f t="shared" si="0"/>
        <v>33.5</v>
      </c>
      <c r="M12" s="53">
        <v>1</v>
      </c>
      <c r="N12" s="53"/>
      <c r="O12" s="53">
        <v>44</v>
      </c>
      <c r="R12" s="42" t="s">
        <v>155</v>
      </c>
      <c r="S12" s="42" t="s">
        <v>420</v>
      </c>
      <c r="T12" s="42" t="s">
        <v>420</v>
      </c>
      <c r="U12" s="42" t="s">
        <v>420</v>
      </c>
    </row>
    <row r="13" spans="1:40" ht="14.4" x14ac:dyDescent="0.3">
      <c r="A13" s="26">
        <v>1</v>
      </c>
      <c r="B13" s="167" t="s">
        <v>421</v>
      </c>
      <c r="C13" s="167" t="s">
        <v>286</v>
      </c>
      <c r="D13" s="167" t="s">
        <v>155</v>
      </c>
      <c r="E13" s="167" t="s">
        <v>414</v>
      </c>
      <c r="F13" s="168">
        <v>62500</v>
      </c>
      <c r="G13" s="32">
        <v>0</v>
      </c>
      <c r="H13" s="53">
        <v>17</v>
      </c>
      <c r="I13" s="167">
        <v>2</v>
      </c>
      <c r="J13" s="53">
        <v>1</v>
      </c>
      <c r="K13" s="53">
        <v>1</v>
      </c>
      <c r="L13" s="32">
        <f t="shared" si="0"/>
        <v>21</v>
      </c>
      <c r="M13" s="53">
        <v>1</v>
      </c>
      <c r="N13" s="53">
        <v>3</v>
      </c>
      <c r="O13" s="53">
        <v>51</v>
      </c>
    </row>
    <row r="14" spans="1:40" ht="14.4" x14ac:dyDescent="0.3">
      <c r="A14" s="26">
        <v>1</v>
      </c>
      <c r="B14" s="167" t="s">
        <v>421</v>
      </c>
      <c r="C14" s="167" t="s">
        <v>422</v>
      </c>
      <c r="D14" s="167" t="s">
        <v>157</v>
      </c>
      <c r="E14" s="167" t="s">
        <v>414</v>
      </c>
      <c r="F14" s="168">
        <v>89756</v>
      </c>
      <c r="G14" s="32">
        <v>0</v>
      </c>
      <c r="H14" s="53">
        <v>11.5</v>
      </c>
      <c r="I14" s="167"/>
      <c r="J14" s="53">
        <v>0</v>
      </c>
      <c r="K14" s="53"/>
      <c r="L14" s="32">
        <f t="shared" si="0"/>
        <v>11.5</v>
      </c>
      <c r="M14" s="53">
        <v>1</v>
      </c>
      <c r="N14" s="53"/>
      <c r="O14" s="53">
        <v>38</v>
      </c>
    </row>
    <row r="15" spans="1:40" ht="14.4" x14ac:dyDescent="0.3">
      <c r="A15" s="26">
        <v>1</v>
      </c>
      <c r="B15" s="167" t="s">
        <v>421</v>
      </c>
      <c r="C15" s="167" t="s">
        <v>423</v>
      </c>
      <c r="D15" s="167" t="s">
        <v>155</v>
      </c>
      <c r="E15" s="167" t="s">
        <v>414</v>
      </c>
      <c r="F15" s="168">
        <v>62500</v>
      </c>
      <c r="G15" s="32">
        <v>0</v>
      </c>
      <c r="H15" s="53">
        <v>2</v>
      </c>
      <c r="I15" s="167">
        <v>1</v>
      </c>
      <c r="J15" s="53">
        <v>0</v>
      </c>
      <c r="K15" s="53">
        <v>0</v>
      </c>
      <c r="L15" s="32">
        <f t="shared" si="0"/>
        <v>3</v>
      </c>
      <c r="M15" s="53" t="s">
        <v>424</v>
      </c>
      <c r="N15" s="53">
        <v>7</v>
      </c>
      <c r="O15" s="53">
        <v>46</v>
      </c>
    </row>
    <row r="16" spans="1:40" ht="14.4" x14ac:dyDescent="0.3">
      <c r="A16" s="26">
        <v>1</v>
      </c>
      <c r="B16" s="167" t="s">
        <v>421</v>
      </c>
      <c r="C16" s="167" t="s">
        <v>287</v>
      </c>
      <c r="D16" s="167" t="s">
        <v>155</v>
      </c>
      <c r="E16" s="167" t="s">
        <v>414</v>
      </c>
      <c r="F16" s="168">
        <v>62500</v>
      </c>
      <c r="G16" s="32">
        <v>0</v>
      </c>
      <c r="H16" s="53">
        <v>7.5</v>
      </c>
      <c r="I16" s="167">
        <v>2</v>
      </c>
      <c r="J16" s="53">
        <v>0.5</v>
      </c>
      <c r="K16" s="53">
        <v>1</v>
      </c>
      <c r="L16" s="32">
        <f t="shared" si="0"/>
        <v>11</v>
      </c>
      <c r="M16" s="53">
        <v>1</v>
      </c>
      <c r="N16" s="53">
        <v>5</v>
      </c>
      <c r="O16" s="53">
        <v>53</v>
      </c>
    </row>
    <row r="17" spans="1:25" ht="14.4" x14ac:dyDescent="0.3">
      <c r="A17" s="26">
        <v>1</v>
      </c>
      <c r="B17" s="167" t="s">
        <v>421</v>
      </c>
      <c r="C17" s="167" t="s">
        <v>288</v>
      </c>
      <c r="D17" s="167" t="s">
        <v>157</v>
      </c>
      <c r="E17" s="167" t="s">
        <v>414</v>
      </c>
      <c r="F17" s="168">
        <v>89756</v>
      </c>
      <c r="G17" s="32">
        <v>0</v>
      </c>
      <c r="H17" s="53">
        <v>11</v>
      </c>
      <c r="I17" s="167">
        <v>3</v>
      </c>
      <c r="J17" s="53">
        <v>0.5</v>
      </c>
      <c r="K17" s="53">
        <v>1</v>
      </c>
      <c r="L17" s="32">
        <f t="shared" si="0"/>
        <v>15.5</v>
      </c>
      <c r="M17" s="53">
        <v>1</v>
      </c>
      <c r="N17" s="53"/>
      <c r="O17" s="53">
        <v>57</v>
      </c>
      <c r="S17" s="26" t="s">
        <v>425</v>
      </c>
    </row>
    <row r="18" spans="1:25" ht="14.4" x14ac:dyDescent="0.3">
      <c r="A18" s="26">
        <v>1</v>
      </c>
      <c r="B18" s="167" t="s">
        <v>421</v>
      </c>
      <c r="C18" s="167" t="s">
        <v>289</v>
      </c>
      <c r="D18" s="167" t="s">
        <v>157</v>
      </c>
      <c r="E18" s="167" t="s">
        <v>414</v>
      </c>
      <c r="F18" s="168">
        <v>89756</v>
      </c>
      <c r="G18" s="32">
        <v>0</v>
      </c>
      <c r="H18" s="53">
        <v>8</v>
      </c>
      <c r="I18" s="167"/>
      <c r="J18" s="53">
        <v>0</v>
      </c>
      <c r="K18" s="53"/>
      <c r="L18" s="32">
        <f t="shared" si="0"/>
        <v>8</v>
      </c>
      <c r="M18" s="53">
        <v>1</v>
      </c>
      <c r="N18" s="53"/>
      <c r="O18" s="53">
        <v>65</v>
      </c>
      <c r="S18" s="26" t="s">
        <v>426</v>
      </c>
      <c r="U18" s="26">
        <f>COUNTIFS(D5:D36, "Male")</f>
        <v>21</v>
      </c>
    </row>
    <row r="19" spans="1:25" ht="14.4" x14ac:dyDescent="0.3">
      <c r="A19" s="26">
        <v>1</v>
      </c>
      <c r="B19" s="167" t="s">
        <v>421</v>
      </c>
      <c r="C19" s="167" t="s">
        <v>291</v>
      </c>
      <c r="D19" s="167" t="s">
        <v>157</v>
      </c>
      <c r="E19" s="167" t="s">
        <v>414</v>
      </c>
      <c r="F19" s="168">
        <v>89756</v>
      </c>
      <c r="G19" s="32">
        <v>0</v>
      </c>
      <c r="H19" s="53">
        <v>149.5</v>
      </c>
      <c r="I19" s="167">
        <v>1</v>
      </c>
      <c r="J19" s="53">
        <v>0.5</v>
      </c>
      <c r="K19" s="53">
        <v>1</v>
      </c>
      <c r="L19" s="32">
        <f t="shared" si="0"/>
        <v>152</v>
      </c>
      <c r="M19" s="53">
        <v>1</v>
      </c>
      <c r="N19" s="53">
        <v>0</v>
      </c>
      <c r="O19" s="53">
        <v>51</v>
      </c>
      <c r="S19" s="26" t="s">
        <v>427</v>
      </c>
      <c r="U19" s="26">
        <f>COUNTIFS(D5:D36, "Female")</f>
        <v>11</v>
      </c>
    </row>
    <row r="20" spans="1:25" ht="14.4" x14ac:dyDescent="0.3">
      <c r="A20" s="26">
        <v>1</v>
      </c>
      <c r="B20" s="167" t="s">
        <v>421</v>
      </c>
      <c r="C20" s="167" t="s">
        <v>292</v>
      </c>
      <c r="D20" s="167" t="s">
        <v>155</v>
      </c>
      <c r="E20" s="167" t="s">
        <v>414</v>
      </c>
      <c r="F20" s="168">
        <v>62500</v>
      </c>
      <c r="G20" s="32">
        <v>0</v>
      </c>
      <c r="H20" s="53">
        <v>16.5</v>
      </c>
      <c r="I20" s="167">
        <v>2</v>
      </c>
      <c r="J20" s="53">
        <v>2.5</v>
      </c>
      <c r="K20" s="53">
        <v>1</v>
      </c>
      <c r="L20" s="32">
        <f t="shared" si="0"/>
        <v>22</v>
      </c>
      <c r="M20" s="53">
        <v>1</v>
      </c>
      <c r="N20" s="53">
        <v>3</v>
      </c>
      <c r="O20" s="53">
        <v>61</v>
      </c>
      <c r="S20" s="26" t="s">
        <v>428</v>
      </c>
      <c r="U20" s="26">
        <f>SUM(U18:U19)</f>
        <v>32</v>
      </c>
    </row>
    <row r="21" spans="1:25" ht="14.4" x14ac:dyDescent="0.3">
      <c r="A21" s="26">
        <v>1</v>
      </c>
      <c r="B21" s="167" t="s">
        <v>421</v>
      </c>
      <c r="C21" s="167" t="s">
        <v>294</v>
      </c>
      <c r="D21" s="167" t="s">
        <v>157</v>
      </c>
      <c r="E21" s="167" t="s">
        <v>414</v>
      </c>
      <c r="F21" s="168">
        <v>89756</v>
      </c>
      <c r="G21" s="32">
        <v>0</v>
      </c>
      <c r="H21" s="53">
        <v>0</v>
      </c>
      <c r="I21" s="167"/>
      <c r="J21" s="53">
        <v>0.5</v>
      </c>
      <c r="K21" s="53"/>
      <c r="L21" s="32">
        <f t="shared" si="0"/>
        <v>0.5</v>
      </c>
      <c r="M21" s="53">
        <v>1</v>
      </c>
      <c r="N21" s="53"/>
      <c r="O21" s="53">
        <v>42</v>
      </c>
    </row>
    <row r="22" spans="1:25" ht="14.4" x14ac:dyDescent="0.3">
      <c r="A22" s="26">
        <v>1</v>
      </c>
      <c r="B22" s="167" t="s">
        <v>421</v>
      </c>
      <c r="C22" s="167" t="s">
        <v>295</v>
      </c>
      <c r="D22" s="167" t="s">
        <v>157</v>
      </c>
      <c r="E22" s="167" t="s">
        <v>414</v>
      </c>
      <c r="F22" s="168">
        <v>89756</v>
      </c>
      <c r="G22" s="32">
        <v>0</v>
      </c>
      <c r="H22" s="53">
        <v>15.5</v>
      </c>
      <c r="I22" s="167">
        <v>2</v>
      </c>
      <c r="J22" s="53">
        <v>0</v>
      </c>
      <c r="K22" s="53"/>
      <c r="L22" s="32">
        <f t="shared" si="0"/>
        <v>17.5</v>
      </c>
      <c r="M22" s="53">
        <v>1</v>
      </c>
      <c r="N22" s="53"/>
      <c r="O22" s="53">
        <v>47</v>
      </c>
      <c r="S22" s="43" t="s">
        <v>429</v>
      </c>
      <c r="T22" s="43"/>
      <c r="U22" s="317">
        <f>SUMIF(E5:E36, "NA", A5:A36)</f>
        <v>25</v>
      </c>
      <c r="V22" s="45"/>
      <c r="W22" s="45"/>
      <c r="X22" s="45"/>
      <c r="Y22" s="45"/>
    </row>
    <row r="23" spans="1:25" ht="14.4" x14ac:dyDescent="0.3">
      <c r="A23" s="26">
        <v>1</v>
      </c>
      <c r="B23" s="167" t="s">
        <v>421</v>
      </c>
      <c r="C23" s="167" t="s">
        <v>296</v>
      </c>
      <c r="D23" s="167" t="s">
        <v>155</v>
      </c>
      <c r="E23" s="167" t="s">
        <v>414</v>
      </c>
      <c r="F23" s="168">
        <v>62500</v>
      </c>
      <c r="G23" s="32">
        <v>0</v>
      </c>
      <c r="H23" s="53">
        <v>18</v>
      </c>
      <c r="I23" s="167">
        <v>1</v>
      </c>
      <c r="J23" s="53">
        <v>0.5</v>
      </c>
      <c r="K23" s="53">
        <v>1</v>
      </c>
      <c r="L23" s="32">
        <f t="shared" si="0"/>
        <v>20.5</v>
      </c>
      <c r="M23" s="53">
        <v>1</v>
      </c>
      <c r="N23" s="53">
        <v>1</v>
      </c>
      <c r="O23" s="53">
        <v>56</v>
      </c>
      <c r="S23" s="43"/>
      <c r="T23" s="43"/>
      <c r="U23" s="44"/>
    </row>
    <row r="24" spans="1:25" ht="14.4" x14ac:dyDescent="0.3">
      <c r="A24" s="26">
        <v>1</v>
      </c>
      <c r="B24" s="167" t="s">
        <v>421</v>
      </c>
      <c r="C24" s="167" t="s">
        <v>297</v>
      </c>
      <c r="D24" s="167" t="s">
        <v>157</v>
      </c>
      <c r="E24" s="167" t="s">
        <v>414</v>
      </c>
      <c r="F24" s="168">
        <v>89756</v>
      </c>
      <c r="G24" s="32">
        <v>0</v>
      </c>
      <c r="H24" s="53">
        <v>15.5</v>
      </c>
      <c r="I24" s="167">
        <v>3</v>
      </c>
      <c r="J24" s="53">
        <v>0.5</v>
      </c>
      <c r="K24" s="53">
        <v>1</v>
      </c>
      <c r="L24" s="32">
        <f t="shared" si="0"/>
        <v>20</v>
      </c>
      <c r="M24" s="53">
        <v>1</v>
      </c>
      <c r="N24" s="53">
        <v>3</v>
      </c>
      <c r="O24" s="53">
        <v>50</v>
      </c>
    </row>
    <row r="25" spans="1:25" ht="14.4" x14ac:dyDescent="0.3">
      <c r="A25" s="26">
        <v>1</v>
      </c>
      <c r="B25" s="167" t="s">
        <v>421</v>
      </c>
      <c r="C25" s="167" t="s">
        <v>298</v>
      </c>
      <c r="D25" s="167" t="s">
        <v>157</v>
      </c>
      <c r="E25" s="167" t="s">
        <v>414</v>
      </c>
      <c r="F25" s="168">
        <v>89756</v>
      </c>
      <c r="G25" s="32">
        <v>0</v>
      </c>
      <c r="H25" s="53">
        <v>13.5</v>
      </c>
      <c r="I25" s="167">
        <v>3</v>
      </c>
      <c r="J25" s="53">
        <v>0.5</v>
      </c>
      <c r="K25" s="53">
        <v>1</v>
      </c>
      <c r="L25" s="32">
        <f t="shared" si="0"/>
        <v>18</v>
      </c>
      <c r="M25" s="53">
        <v>1</v>
      </c>
      <c r="N25" s="53"/>
      <c r="O25" s="53">
        <v>34</v>
      </c>
      <c r="S25" s="43"/>
      <c r="T25" s="43"/>
      <c r="U25" s="44"/>
      <c r="V25" s="45"/>
      <c r="W25" s="45"/>
      <c r="X25" s="45"/>
      <c r="Y25" s="45"/>
    </row>
    <row r="26" spans="1:25" ht="14.4" x14ac:dyDescent="0.3">
      <c r="A26" s="26">
        <v>1</v>
      </c>
      <c r="B26" s="167" t="s">
        <v>421</v>
      </c>
      <c r="C26" s="167" t="s">
        <v>430</v>
      </c>
      <c r="D26" s="167" t="s">
        <v>155</v>
      </c>
      <c r="E26" s="167" t="s">
        <v>414</v>
      </c>
      <c r="F26" s="168">
        <v>62500</v>
      </c>
      <c r="G26" s="32">
        <v>0</v>
      </c>
      <c r="H26" s="53">
        <v>0</v>
      </c>
      <c r="I26" s="167"/>
      <c r="J26" s="53">
        <v>0</v>
      </c>
      <c r="K26" s="53"/>
      <c r="L26" s="53"/>
      <c r="M26" s="53" t="s">
        <v>424</v>
      </c>
      <c r="N26" s="53"/>
      <c r="O26" s="53">
        <v>33</v>
      </c>
      <c r="S26" s="43"/>
      <c r="T26" s="43"/>
      <c r="U26" s="43"/>
    </row>
    <row r="27" spans="1:25" ht="14.4" x14ac:dyDescent="0.3">
      <c r="A27" s="26">
        <v>1</v>
      </c>
      <c r="B27" s="167" t="s">
        <v>421</v>
      </c>
      <c r="C27" s="167" t="s">
        <v>431</v>
      </c>
      <c r="D27" s="167" t="s">
        <v>157</v>
      </c>
      <c r="E27" s="167" t="s">
        <v>414</v>
      </c>
      <c r="F27" s="168">
        <v>89756</v>
      </c>
      <c r="G27" s="32">
        <v>0</v>
      </c>
      <c r="H27" s="53">
        <v>0</v>
      </c>
      <c r="I27" s="167"/>
      <c r="J27" s="53">
        <v>0.5</v>
      </c>
      <c r="K27" s="53"/>
      <c r="L27" s="32">
        <f t="shared" si="0"/>
        <v>0.5</v>
      </c>
      <c r="M27" s="53">
        <v>1</v>
      </c>
      <c r="N27" s="53"/>
      <c r="O27" s="53">
        <v>38</v>
      </c>
    </row>
    <row r="28" spans="1:25" ht="14.4" x14ac:dyDescent="0.3">
      <c r="A28" s="26">
        <v>1</v>
      </c>
      <c r="B28" s="167" t="s">
        <v>421</v>
      </c>
      <c r="C28" s="167" t="s">
        <v>300</v>
      </c>
      <c r="D28" s="167" t="s">
        <v>155</v>
      </c>
      <c r="E28" s="167" t="s">
        <v>414</v>
      </c>
      <c r="F28" s="168">
        <v>62500</v>
      </c>
      <c r="G28" s="32">
        <v>0</v>
      </c>
      <c r="H28" s="53">
        <v>22</v>
      </c>
      <c r="I28" s="167">
        <v>3</v>
      </c>
      <c r="J28" s="53">
        <v>0.5</v>
      </c>
      <c r="K28" s="53">
        <v>1</v>
      </c>
      <c r="L28" s="32">
        <f t="shared" si="0"/>
        <v>26.5</v>
      </c>
      <c r="M28" s="53">
        <v>1</v>
      </c>
      <c r="N28" s="53">
        <v>1</v>
      </c>
      <c r="O28" s="53">
        <v>28</v>
      </c>
    </row>
    <row r="29" spans="1:25" ht="14.4" x14ac:dyDescent="0.3">
      <c r="A29" s="26">
        <v>1</v>
      </c>
      <c r="B29" s="167" t="s">
        <v>421</v>
      </c>
      <c r="C29" s="167" t="s">
        <v>432</v>
      </c>
      <c r="D29" s="167" t="s">
        <v>157</v>
      </c>
      <c r="E29" s="167" t="s">
        <v>414</v>
      </c>
      <c r="F29" s="168">
        <v>89756</v>
      </c>
      <c r="G29" s="32">
        <v>0</v>
      </c>
      <c r="H29" s="53">
        <v>7</v>
      </c>
      <c r="I29" s="167"/>
      <c r="J29" s="53">
        <v>0.5</v>
      </c>
      <c r="K29" s="53">
        <v>1</v>
      </c>
      <c r="L29" s="32">
        <f t="shared" si="0"/>
        <v>8.5</v>
      </c>
      <c r="M29" s="53">
        <v>1</v>
      </c>
      <c r="N29" s="53"/>
      <c r="O29" s="53">
        <v>32</v>
      </c>
    </row>
    <row r="30" spans="1:25" ht="14.4" x14ac:dyDescent="0.3">
      <c r="A30" s="26">
        <v>1</v>
      </c>
      <c r="B30" s="167" t="s">
        <v>421</v>
      </c>
      <c r="C30" s="167" t="s">
        <v>301</v>
      </c>
      <c r="D30" s="167" t="s">
        <v>155</v>
      </c>
      <c r="E30" s="167" t="s">
        <v>414</v>
      </c>
      <c r="F30" s="168">
        <v>62500</v>
      </c>
      <c r="G30" s="32">
        <v>0</v>
      </c>
      <c r="H30" s="53">
        <v>24</v>
      </c>
      <c r="I30" s="167">
        <v>2</v>
      </c>
      <c r="J30" s="53">
        <v>1</v>
      </c>
      <c r="K30" s="53">
        <v>1</v>
      </c>
      <c r="L30" s="32">
        <f t="shared" si="0"/>
        <v>28</v>
      </c>
      <c r="M30" s="53">
        <v>1</v>
      </c>
      <c r="N30" s="53">
        <v>2.5</v>
      </c>
      <c r="O30" s="53">
        <v>56</v>
      </c>
    </row>
    <row r="31" spans="1:25" ht="14.4" x14ac:dyDescent="0.3">
      <c r="A31" s="26">
        <v>1</v>
      </c>
      <c r="B31" s="167" t="s">
        <v>421</v>
      </c>
      <c r="C31" s="167" t="s">
        <v>303</v>
      </c>
      <c r="D31" s="167" t="s">
        <v>157</v>
      </c>
      <c r="E31" s="167" t="s">
        <v>416</v>
      </c>
      <c r="F31" s="169">
        <v>89756</v>
      </c>
      <c r="G31" s="32">
        <v>0</v>
      </c>
      <c r="H31" s="53">
        <v>3.5</v>
      </c>
      <c r="I31" s="167">
        <v>1</v>
      </c>
      <c r="J31" s="53">
        <v>0.5</v>
      </c>
      <c r="K31" s="53">
        <v>1</v>
      </c>
      <c r="L31" s="32">
        <f t="shared" si="0"/>
        <v>6</v>
      </c>
      <c r="M31" s="53">
        <v>1</v>
      </c>
      <c r="N31" s="53"/>
      <c r="O31" s="53">
        <v>40</v>
      </c>
    </row>
    <row r="32" spans="1:25" ht="14.4" x14ac:dyDescent="0.3">
      <c r="A32" s="26">
        <v>1</v>
      </c>
      <c r="B32" s="167" t="s">
        <v>421</v>
      </c>
      <c r="C32" s="167" t="s">
        <v>304</v>
      </c>
      <c r="D32" s="167" t="s">
        <v>157</v>
      </c>
      <c r="E32" s="167" t="s">
        <v>416</v>
      </c>
      <c r="F32" s="169">
        <v>89756</v>
      </c>
      <c r="G32" s="32">
        <v>0</v>
      </c>
      <c r="H32" s="53">
        <v>5.5</v>
      </c>
      <c r="I32" s="167">
        <v>1</v>
      </c>
      <c r="J32" s="53">
        <v>1</v>
      </c>
      <c r="K32" s="53">
        <v>1</v>
      </c>
      <c r="L32" s="32">
        <f t="shared" si="0"/>
        <v>8.5</v>
      </c>
      <c r="M32" s="53">
        <v>1</v>
      </c>
      <c r="N32" s="53"/>
      <c r="O32" s="53">
        <v>35</v>
      </c>
    </row>
    <row r="33" spans="1:16" ht="14.4" x14ac:dyDescent="0.3">
      <c r="A33" s="26">
        <v>1</v>
      </c>
      <c r="B33" s="167" t="s">
        <v>421</v>
      </c>
      <c r="C33" s="167" t="s">
        <v>305</v>
      </c>
      <c r="D33" s="167" t="s">
        <v>157</v>
      </c>
      <c r="E33" s="167" t="s">
        <v>416</v>
      </c>
      <c r="F33" s="169">
        <v>89756</v>
      </c>
      <c r="G33" s="32">
        <v>0</v>
      </c>
      <c r="H33" s="53">
        <v>7.5</v>
      </c>
      <c r="I33" s="167"/>
      <c r="J33" s="53">
        <v>2.5</v>
      </c>
      <c r="K33" s="53">
        <v>1</v>
      </c>
      <c r="L33" s="32">
        <f t="shared" si="0"/>
        <v>11</v>
      </c>
      <c r="M33" s="53">
        <v>1</v>
      </c>
      <c r="N33" s="53"/>
      <c r="O33" s="53">
        <v>32</v>
      </c>
    </row>
    <row r="34" spans="1:16" ht="14.4" x14ac:dyDescent="0.3">
      <c r="A34" s="26">
        <v>1</v>
      </c>
      <c r="B34" s="167" t="s">
        <v>421</v>
      </c>
      <c r="C34" s="167" t="s">
        <v>306</v>
      </c>
      <c r="D34" s="167" t="s">
        <v>157</v>
      </c>
      <c r="E34" s="167" t="s">
        <v>416</v>
      </c>
      <c r="F34" s="169">
        <v>89756</v>
      </c>
      <c r="G34" s="32">
        <v>0</v>
      </c>
      <c r="H34" s="53">
        <v>9.5</v>
      </c>
      <c r="I34" s="167">
        <v>1</v>
      </c>
      <c r="J34" s="53">
        <v>0.5</v>
      </c>
      <c r="K34" s="53">
        <v>1</v>
      </c>
      <c r="L34" s="32">
        <f t="shared" si="0"/>
        <v>12</v>
      </c>
      <c r="M34" s="53">
        <v>1</v>
      </c>
      <c r="N34" s="53"/>
      <c r="O34" s="53">
        <v>38</v>
      </c>
    </row>
    <row r="35" spans="1:16" ht="14.4" x14ac:dyDescent="0.3">
      <c r="A35" s="26">
        <v>1</v>
      </c>
      <c r="B35" s="167" t="s">
        <v>421</v>
      </c>
      <c r="C35" s="167" t="s">
        <v>307</v>
      </c>
      <c r="D35" s="167" t="s">
        <v>155</v>
      </c>
      <c r="E35" s="167" t="s">
        <v>416</v>
      </c>
      <c r="F35" s="169">
        <v>62500</v>
      </c>
      <c r="G35" s="32">
        <v>0</v>
      </c>
      <c r="H35" s="53">
        <v>2</v>
      </c>
      <c r="I35" s="167">
        <v>1</v>
      </c>
      <c r="J35" s="53">
        <v>1</v>
      </c>
      <c r="K35" s="53">
        <v>1</v>
      </c>
      <c r="L35" s="32">
        <f t="shared" si="0"/>
        <v>5</v>
      </c>
      <c r="M35" s="53">
        <v>1</v>
      </c>
      <c r="N35" s="53">
        <v>1</v>
      </c>
      <c r="O35" s="53">
        <v>46</v>
      </c>
    </row>
    <row r="36" spans="1:16" ht="14.4" x14ac:dyDescent="0.3">
      <c r="A36" s="26">
        <v>1</v>
      </c>
      <c r="B36" s="167" t="s">
        <v>421</v>
      </c>
      <c r="C36" s="167" t="s">
        <v>308</v>
      </c>
      <c r="D36" s="167" t="s">
        <v>157</v>
      </c>
      <c r="E36" s="167" t="s">
        <v>416</v>
      </c>
      <c r="F36" s="169">
        <v>89756</v>
      </c>
      <c r="G36" s="26">
        <v>0</v>
      </c>
      <c r="H36" s="53">
        <v>2</v>
      </c>
      <c r="I36" s="167">
        <v>1</v>
      </c>
      <c r="J36" s="53">
        <v>0.5</v>
      </c>
      <c r="K36" s="53">
        <v>1</v>
      </c>
      <c r="L36" s="32">
        <f t="shared" si="0"/>
        <v>4.5</v>
      </c>
      <c r="M36" s="53">
        <v>1</v>
      </c>
      <c r="N36" s="53"/>
      <c r="O36" s="53">
        <v>54</v>
      </c>
      <c r="P36" s="26" t="s">
        <v>246</v>
      </c>
    </row>
    <row r="37" spans="1:16" ht="14.4" x14ac:dyDescent="0.3">
      <c r="B37" s="167"/>
      <c r="C37" s="167"/>
      <c r="D37" s="167"/>
      <c r="E37" s="167"/>
      <c r="F37" s="169"/>
      <c r="H37" s="53"/>
      <c r="I37" s="167"/>
      <c r="K37" s="53"/>
      <c r="L37" s="32"/>
      <c r="N37" s="33"/>
    </row>
    <row r="38" spans="1:16" x14ac:dyDescent="0.25">
      <c r="A38" s="26">
        <f>SUM(A5:A36)</f>
        <v>32</v>
      </c>
      <c r="F38" s="26">
        <f>SUM(F5:F36)</f>
        <v>3688838</v>
      </c>
      <c r="G38" s="26">
        <f>SUM(G5:G36)</f>
        <v>0</v>
      </c>
      <c r="H38" s="26">
        <f>SUM(H5:H36)</f>
        <v>657.5</v>
      </c>
      <c r="I38" s="26">
        <f t="shared" ref="I38:L38" si="1">SUM(I5:I36)</f>
        <v>44</v>
      </c>
      <c r="J38" s="26">
        <f t="shared" si="1"/>
        <v>21</v>
      </c>
      <c r="K38" s="26">
        <f t="shared" si="1"/>
        <v>23</v>
      </c>
      <c r="L38" s="26">
        <f t="shared" si="1"/>
        <v>745.5</v>
      </c>
      <c r="M38" s="318">
        <f>SUM(M5:M30)</f>
        <v>22</v>
      </c>
      <c r="N38" s="46">
        <f>SUM(N5:N36)</f>
        <v>27.5</v>
      </c>
      <c r="O38" s="46" t="s">
        <v>246</v>
      </c>
    </row>
    <row r="39" spans="1:16" x14ac:dyDescent="0.25">
      <c r="F39" s="43"/>
      <c r="L39" s="26" t="s">
        <v>246</v>
      </c>
      <c r="N39" s="33"/>
    </row>
    <row r="40" spans="1:16" x14ac:dyDescent="0.25">
      <c r="N40" s="33"/>
    </row>
    <row r="41" spans="1:16" x14ac:dyDescent="0.25">
      <c r="A41" s="26">
        <v>1</v>
      </c>
      <c r="B41" s="167" t="s">
        <v>231</v>
      </c>
      <c r="C41" s="167" t="s">
        <v>433</v>
      </c>
      <c r="D41" s="167" t="s">
        <v>157</v>
      </c>
      <c r="E41" s="167" t="s">
        <v>434</v>
      </c>
      <c r="F41" s="47" t="s">
        <v>414</v>
      </c>
      <c r="G41" s="48" t="s">
        <v>414</v>
      </c>
      <c r="H41" s="48" t="s">
        <v>414</v>
      </c>
      <c r="I41" s="48"/>
      <c r="J41" s="48"/>
      <c r="K41" s="48"/>
      <c r="L41" s="48" t="s">
        <v>414</v>
      </c>
      <c r="M41" s="49" t="s">
        <v>414</v>
      </c>
      <c r="N41" s="50"/>
    </row>
    <row r="42" spans="1:16" x14ac:dyDescent="0.25">
      <c r="A42" s="26">
        <v>1</v>
      </c>
      <c r="B42" s="167" t="s">
        <v>231</v>
      </c>
      <c r="C42" s="167" t="s">
        <v>435</v>
      </c>
      <c r="D42" s="167" t="s">
        <v>157</v>
      </c>
      <c r="E42" s="167" t="s">
        <v>434</v>
      </c>
      <c r="F42" s="47" t="s">
        <v>414</v>
      </c>
      <c r="G42" s="48" t="s">
        <v>414</v>
      </c>
      <c r="H42" s="48" t="s">
        <v>414</v>
      </c>
      <c r="I42" s="48"/>
      <c r="J42" s="48"/>
      <c r="K42" s="48"/>
      <c r="L42" s="48" t="s">
        <v>414</v>
      </c>
      <c r="M42" s="49" t="s">
        <v>414</v>
      </c>
      <c r="N42" s="51"/>
    </row>
    <row r="43" spans="1:16" x14ac:dyDescent="0.25">
      <c r="A43" s="26">
        <v>1</v>
      </c>
      <c r="B43" s="167" t="s">
        <v>421</v>
      </c>
      <c r="C43" s="167" t="s">
        <v>436</v>
      </c>
      <c r="D43" s="167" t="s">
        <v>155</v>
      </c>
      <c r="E43" s="167" t="s">
        <v>437</v>
      </c>
      <c r="F43" s="49" t="s">
        <v>414</v>
      </c>
      <c r="G43" s="49" t="s">
        <v>414</v>
      </c>
      <c r="H43" s="49" t="s">
        <v>414</v>
      </c>
      <c r="I43" s="49"/>
      <c r="J43" s="49"/>
      <c r="K43" s="49"/>
      <c r="L43" s="49" t="s">
        <v>414</v>
      </c>
      <c r="M43" s="49" t="s">
        <v>414</v>
      </c>
    </row>
    <row r="44" spans="1:16" x14ac:dyDescent="0.25">
      <c r="A44" s="26">
        <v>1</v>
      </c>
      <c r="B44" s="167" t="s">
        <v>421</v>
      </c>
      <c r="C44" s="167" t="s">
        <v>438</v>
      </c>
      <c r="D44" s="167" t="s">
        <v>157</v>
      </c>
      <c r="E44" s="167" t="s">
        <v>437</v>
      </c>
      <c r="F44" s="49" t="s">
        <v>414</v>
      </c>
      <c r="G44" s="49" t="s">
        <v>414</v>
      </c>
      <c r="H44" s="49" t="s">
        <v>414</v>
      </c>
      <c r="I44" s="49"/>
      <c r="J44" s="49"/>
      <c r="K44" s="49"/>
      <c r="L44" s="49" t="s">
        <v>414</v>
      </c>
      <c r="M44" s="49" t="s">
        <v>414</v>
      </c>
    </row>
    <row r="45" spans="1:16" x14ac:dyDescent="0.25">
      <c r="A45" s="26">
        <v>1</v>
      </c>
      <c r="B45" s="167" t="s">
        <v>421</v>
      </c>
      <c r="C45" s="167" t="s">
        <v>439</v>
      </c>
      <c r="D45" s="167" t="s">
        <v>155</v>
      </c>
      <c r="E45" s="167" t="s">
        <v>437</v>
      </c>
      <c r="F45" s="49" t="s">
        <v>414</v>
      </c>
      <c r="G45" s="49" t="s">
        <v>414</v>
      </c>
      <c r="H45" s="49" t="s">
        <v>414</v>
      </c>
      <c r="I45" s="49"/>
      <c r="J45" s="49"/>
      <c r="K45" s="49"/>
      <c r="L45" s="49" t="s">
        <v>414</v>
      </c>
      <c r="M45" s="49" t="s">
        <v>414</v>
      </c>
    </row>
    <row r="46" spans="1:16" x14ac:dyDescent="0.25">
      <c r="A46" s="26">
        <v>1</v>
      </c>
      <c r="B46" s="167" t="s">
        <v>421</v>
      </c>
      <c r="C46" s="167" t="s">
        <v>440</v>
      </c>
      <c r="D46" s="167" t="s">
        <v>157</v>
      </c>
      <c r="E46" s="167" t="s">
        <v>437</v>
      </c>
      <c r="F46" s="49" t="s">
        <v>414</v>
      </c>
      <c r="G46" s="49" t="s">
        <v>414</v>
      </c>
      <c r="H46" s="49" t="s">
        <v>414</v>
      </c>
      <c r="I46" s="49"/>
      <c r="J46" s="49"/>
      <c r="K46" s="49"/>
      <c r="L46" s="49" t="s">
        <v>414</v>
      </c>
      <c r="M46" s="49" t="s">
        <v>414</v>
      </c>
    </row>
    <row r="47" spans="1:16" x14ac:dyDescent="0.25">
      <c r="C47" s="32"/>
      <c r="D47" s="32"/>
      <c r="E47" s="32"/>
      <c r="F47" s="49"/>
      <c r="G47" s="49"/>
      <c r="H47" s="49"/>
      <c r="I47" s="49"/>
      <c r="J47" s="49"/>
      <c r="K47" s="49"/>
      <c r="L47" s="49"/>
      <c r="M47" s="49"/>
    </row>
    <row r="50" spans="2:14" x14ac:dyDescent="0.25">
      <c r="K50" s="26" t="s">
        <v>441</v>
      </c>
    </row>
    <row r="51" spans="2:14" x14ac:dyDescent="0.25">
      <c r="K51" s="26" t="s">
        <v>442</v>
      </c>
      <c r="M51" s="26">
        <v>32</v>
      </c>
    </row>
    <row r="52" spans="2:14" x14ac:dyDescent="0.25">
      <c r="K52" s="26" t="s">
        <v>443</v>
      </c>
      <c r="M52" s="26">
        <v>1</v>
      </c>
      <c r="N52" s="323">
        <f>M52/M51</f>
        <v>3.125E-2</v>
      </c>
    </row>
    <row r="53" spans="2:14" x14ac:dyDescent="0.25">
      <c r="K53" s="26" t="s">
        <v>444</v>
      </c>
      <c r="M53" s="26">
        <v>31</v>
      </c>
      <c r="N53" s="323">
        <f>M53/M51</f>
        <v>0.96875</v>
      </c>
    </row>
    <row r="54" spans="2:14" x14ac:dyDescent="0.25">
      <c r="F54" s="52" t="s">
        <v>246</v>
      </c>
      <c r="N54" s="323"/>
    </row>
    <row r="55" spans="2:14" x14ac:dyDescent="0.25">
      <c r="C55" s="32"/>
      <c r="D55" s="32"/>
      <c r="E55" s="32"/>
    </row>
    <row r="56" spans="2:14" x14ac:dyDescent="0.25">
      <c r="C56" s="32" t="s">
        <v>246</v>
      </c>
      <c r="D56" s="32"/>
      <c r="E56" s="32"/>
    </row>
    <row r="57" spans="2:14" x14ac:dyDescent="0.25">
      <c r="B57" s="32"/>
      <c r="C57" s="32"/>
      <c r="D57" s="32"/>
      <c r="E57" s="32"/>
    </row>
    <row r="62" spans="2:14" x14ac:dyDescent="0.25">
      <c r="F62" s="52"/>
    </row>
    <row r="128" spans="2:2" x14ac:dyDescent="0.25">
      <c r="B128" s="26" t="s">
        <v>372</v>
      </c>
    </row>
    <row r="129" spans="2:4" x14ac:dyDescent="0.25">
      <c r="B129" s="26" t="s">
        <v>445</v>
      </c>
      <c r="D129" s="26" t="s">
        <v>416</v>
      </c>
    </row>
    <row r="130" spans="2:4" x14ac:dyDescent="0.25">
      <c r="B130" s="26" t="s">
        <v>446</v>
      </c>
      <c r="D130" s="26" t="s">
        <v>437</v>
      </c>
    </row>
    <row r="131" spans="2:4" x14ac:dyDescent="0.25">
      <c r="B131" s="26" t="s">
        <v>413</v>
      </c>
      <c r="D131" s="26" t="s">
        <v>414</v>
      </c>
    </row>
    <row r="132" spans="2:4" x14ac:dyDescent="0.25">
      <c r="B132" s="26" t="s">
        <v>447</v>
      </c>
    </row>
  </sheetData>
  <mergeCells count="3">
    <mergeCell ref="AA1:AC1"/>
    <mergeCell ref="AD1:AF1"/>
    <mergeCell ref="S1:T1"/>
  </mergeCells>
  <dataValidations disablePrompts="1" count="2">
    <dataValidation type="list" allowBlank="1" showInputMessage="1" showErrorMessage="1" sqref="D58:E109 C61 D51:E54" xr:uid="{C9EE1E7F-50D9-454A-9177-7EB085320D39}">
      <formula1>#REF!</formula1>
    </dataValidation>
    <dataValidation type="list" allowBlank="1" showInputMessage="1" showErrorMessage="1" sqref="B58:C126 B51:C54" xr:uid="{358DF5F6-5F71-4DD4-908C-3528AD8945D1}">
      <formula1>$B$128:$B$132</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7908-8491-4A6C-96F2-6C9F28BB1EFA}">
  <sheetPr codeName="Sheet6">
    <tabColor rgb="FFFF0000"/>
  </sheetPr>
  <dimension ref="A1:Q12"/>
  <sheetViews>
    <sheetView workbookViewId="0">
      <selection activeCell="N13" sqref="N13"/>
    </sheetView>
  </sheetViews>
  <sheetFormatPr defaultRowHeight="14.4" x14ac:dyDescent="0.3"/>
  <cols>
    <col min="6" max="6" width="11.44140625" customWidth="1"/>
    <col min="12" max="12" width="10.88671875" customWidth="1"/>
    <col min="15" max="15" width="11.21875" customWidth="1"/>
  </cols>
  <sheetData>
    <row r="1" spans="1:17" ht="15" thickBot="1" x14ac:dyDescent="0.35"/>
    <row r="2" spans="1:17" ht="26.25" customHeight="1" thickBot="1" x14ac:dyDescent="0.35">
      <c r="A2" s="53"/>
      <c r="B2" s="53"/>
      <c r="C2" s="845" t="s">
        <v>419</v>
      </c>
      <c r="D2" s="846"/>
      <c r="E2" s="847" t="s">
        <v>446</v>
      </c>
      <c r="F2" s="848"/>
      <c r="H2" s="53"/>
      <c r="I2" s="53"/>
      <c r="J2" s="53"/>
      <c r="K2" s="53"/>
      <c r="L2" s="67" t="s">
        <v>419</v>
      </c>
      <c r="M2" s="66"/>
      <c r="N2" s="847" t="s">
        <v>446</v>
      </c>
      <c r="O2" s="848"/>
      <c r="Q2" s="53"/>
    </row>
    <row r="3" spans="1:17" ht="15" thickBot="1" x14ac:dyDescent="0.35">
      <c r="A3" s="59" t="s">
        <v>237</v>
      </c>
      <c r="B3" s="59"/>
      <c r="C3" s="65">
        <v>44</v>
      </c>
      <c r="D3" s="64" t="s">
        <v>356</v>
      </c>
      <c r="E3" s="53">
        <v>44</v>
      </c>
      <c r="H3" s="53"/>
      <c r="I3" s="53"/>
      <c r="K3" s="59"/>
      <c r="L3" s="65" t="s">
        <v>157</v>
      </c>
      <c r="M3" s="64" t="s">
        <v>155</v>
      </c>
      <c r="N3" s="53" t="s">
        <v>157</v>
      </c>
      <c r="O3" s="64" t="s">
        <v>155</v>
      </c>
      <c r="Q3" s="53"/>
    </row>
    <row r="4" spans="1:17" ht="15" thickBot="1" x14ac:dyDescent="0.35">
      <c r="A4" s="53"/>
      <c r="B4" s="53"/>
      <c r="C4" s="63" t="s">
        <v>356</v>
      </c>
      <c r="D4" s="60" t="s">
        <v>356</v>
      </c>
      <c r="E4" s="61" t="s">
        <v>356</v>
      </c>
      <c r="F4" s="62"/>
      <c r="H4" s="53"/>
      <c r="I4" s="53"/>
      <c r="J4" s="59" t="s">
        <v>237</v>
      </c>
      <c r="K4" s="53"/>
      <c r="L4" s="58">
        <v>43</v>
      </c>
      <c r="M4" s="56">
        <v>47</v>
      </c>
      <c r="N4" s="57">
        <v>46</v>
      </c>
      <c r="O4" s="56">
        <v>42</v>
      </c>
      <c r="Q4" s="53"/>
    </row>
    <row r="5" spans="1:17" ht="15" thickBot="1" x14ac:dyDescent="0.35">
      <c r="A5" s="53"/>
      <c r="B5" s="53"/>
      <c r="C5" s="53"/>
      <c r="D5" s="53"/>
      <c r="E5" s="53"/>
      <c r="H5" s="53"/>
      <c r="I5" s="53"/>
      <c r="J5" s="53"/>
      <c r="K5" s="53"/>
      <c r="L5" s="53"/>
      <c r="M5" s="53"/>
      <c r="N5" s="53"/>
      <c r="O5" s="53"/>
      <c r="Q5" s="53"/>
    </row>
    <row r="6" spans="1:17" ht="15" thickBot="1" x14ac:dyDescent="0.35">
      <c r="A6" s="53" t="s">
        <v>255</v>
      </c>
      <c r="B6" s="53"/>
      <c r="C6" s="53">
        <v>1</v>
      </c>
      <c r="D6" s="55">
        <f>C6/C10</f>
        <v>3.125E-2</v>
      </c>
      <c r="E6" s="53">
        <v>0</v>
      </c>
      <c r="F6" s="55">
        <f>E6/E10</f>
        <v>0</v>
      </c>
      <c r="H6" s="53"/>
      <c r="I6" s="53"/>
      <c r="J6" s="53" t="s">
        <v>255</v>
      </c>
      <c r="K6" s="53"/>
      <c r="L6" s="53">
        <v>0</v>
      </c>
      <c r="M6" s="53">
        <v>1</v>
      </c>
      <c r="N6" s="53">
        <v>0</v>
      </c>
      <c r="O6" s="53">
        <v>0</v>
      </c>
      <c r="Q6" s="53"/>
    </row>
    <row r="7" spans="1:17" ht="15" thickBot="1" x14ac:dyDescent="0.35">
      <c r="A7" s="53" t="s">
        <v>256</v>
      </c>
      <c r="B7" s="53"/>
      <c r="C7" s="53">
        <v>21</v>
      </c>
      <c r="D7" s="55">
        <f>C7/C10</f>
        <v>0.65625</v>
      </c>
      <c r="E7" s="53">
        <v>7</v>
      </c>
      <c r="F7" s="55">
        <f>E7/E10</f>
        <v>0.875</v>
      </c>
      <c r="H7" s="53"/>
      <c r="I7" s="53"/>
      <c r="J7" s="53" t="s">
        <v>256</v>
      </c>
      <c r="K7" s="53"/>
      <c r="L7" s="53">
        <v>16</v>
      </c>
      <c r="M7" s="53">
        <v>5</v>
      </c>
      <c r="N7" s="53">
        <v>5</v>
      </c>
      <c r="O7" s="53">
        <v>2</v>
      </c>
      <c r="Q7" s="53"/>
    </row>
    <row r="8" spans="1:17" ht="15" thickBot="1" x14ac:dyDescent="0.35">
      <c r="A8" s="53" t="s">
        <v>258</v>
      </c>
      <c r="B8" s="53"/>
      <c r="C8" s="53">
        <v>10</v>
      </c>
      <c r="D8" s="54">
        <f>C8/C10</f>
        <v>0.3125</v>
      </c>
      <c r="E8" s="53">
        <v>1</v>
      </c>
      <c r="F8" s="54">
        <f>E8/E10</f>
        <v>0.125</v>
      </c>
      <c r="H8" s="53"/>
      <c r="I8" s="53"/>
      <c r="J8" s="53" t="s">
        <v>258</v>
      </c>
      <c r="K8" s="53"/>
      <c r="L8" s="53">
        <v>5</v>
      </c>
      <c r="M8" s="53">
        <v>5</v>
      </c>
      <c r="N8" s="53">
        <v>1</v>
      </c>
      <c r="O8" s="53">
        <v>0</v>
      </c>
      <c r="Q8" s="53"/>
    </row>
    <row r="9" spans="1:17" x14ac:dyDescent="0.3">
      <c r="A9" s="53"/>
      <c r="B9" s="53"/>
      <c r="C9" s="53"/>
      <c r="D9" s="53"/>
      <c r="E9" s="53"/>
      <c r="H9" s="53"/>
      <c r="I9" s="53"/>
      <c r="J9" s="53"/>
      <c r="K9" s="53"/>
      <c r="L9" s="53"/>
      <c r="M9" s="53"/>
      <c r="N9" s="53"/>
      <c r="O9" s="53"/>
      <c r="Q9" s="53"/>
    </row>
    <row r="10" spans="1:17" x14ac:dyDescent="0.3">
      <c r="A10" s="53" t="s">
        <v>448</v>
      </c>
      <c r="B10" s="53"/>
      <c r="C10" s="53">
        <f>SUM(C6:C8)</f>
        <v>32</v>
      </c>
      <c r="D10" s="53" t="s">
        <v>246</v>
      </c>
      <c r="E10" s="53">
        <f>SUM(E6:E8)</f>
        <v>8</v>
      </c>
      <c r="H10" s="53"/>
      <c r="I10" s="53"/>
      <c r="J10" s="53"/>
      <c r="K10" s="53"/>
      <c r="L10" s="53">
        <f>SUM(L6:L8)</f>
        <v>21</v>
      </c>
      <c r="M10" s="53">
        <f t="shared" ref="M10:O10" si="0">SUM(M6:M8)</f>
        <v>11</v>
      </c>
      <c r="N10" s="53">
        <f t="shared" si="0"/>
        <v>6</v>
      </c>
      <c r="O10" s="53">
        <f t="shared" si="0"/>
        <v>2</v>
      </c>
      <c r="Q10" s="53"/>
    </row>
    <row r="11" spans="1:17" x14ac:dyDescent="0.3">
      <c r="A11" s="53"/>
      <c r="B11" s="53"/>
      <c r="C11" s="53"/>
      <c r="D11" s="53"/>
      <c r="E11" s="53"/>
      <c r="G11" s="53"/>
      <c r="H11" s="53"/>
      <c r="I11" s="53"/>
      <c r="J11" s="53"/>
      <c r="K11" s="53"/>
      <c r="L11" s="53"/>
      <c r="M11" s="53"/>
      <c r="N11" s="53"/>
      <c r="P11" s="53"/>
      <c r="Q11" s="53"/>
    </row>
    <row r="12" spans="1:17" x14ac:dyDescent="0.3">
      <c r="A12" s="53"/>
      <c r="B12" s="53"/>
      <c r="C12" s="53"/>
      <c r="D12" s="53"/>
      <c r="E12" s="53"/>
      <c r="G12" s="53"/>
      <c r="H12" s="53"/>
      <c r="I12" s="53"/>
      <c r="J12" s="53"/>
      <c r="K12" s="53"/>
      <c r="L12" s="53"/>
      <c r="M12" s="53"/>
      <c r="N12" s="53"/>
      <c r="P12" s="53"/>
      <c r="Q12" s="53"/>
    </row>
  </sheetData>
  <mergeCells count="3">
    <mergeCell ref="C2:D2"/>
    <mergeCell ref="E2:F2"/>
    <mergeCell ref="N2:O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B87B-45D0-489A-9D9F-A1E9C8EAAA0E}">
  <sheetPr codeName="Sheet7"/>
  <dimension ref="A1:E10"/>
  <sheetViews>
    <sheetView topLeftCell="B1" workbookViewId="0">
      <selection activeCell="E1" sqref="E1"/>
    </sheetView>
  </sheetViews>
  <sheetFormatPr defaultRowHeight="14.4" x14ac:dyDescent="0.3"/>
  <cols>
    <col min="2" max="2" width="24.44140625" customWidth="1"/>
    <col min="3" max="3" width="27.44140625" customWidth="1"/>
    <col min="4" max="4" width="28" customWidth="1"/>
  </cols>
  <sheetData>
    <row r="1" spans="1:5" x14ac:dyDescent="0.3">
      <c r="B1" s="68" t="s">
        <v>449</v>
      </c>
      <c r="C1" t="s">
        <v>450</v>
      </c>
      <c r="D1" s="68" t="s">
        <v>451</v>
      </c>
      <c r="E1" t="s">
        <v>452</v>
      </c>
    </row>
    <row r="2" spans="1:5" x14ac:dyDescent="0.3">
      <c r="A2">
        <v>1</v>
      </c>
      <c r="B2" t="s">
        <v>453</v>
      </c>
      <c r="C2" t="s">
        <v>364</v>
      </c>
      <c r="D2" t="s">
        <v>454</v>
      </c>
      <c r="E2" t="s">
        <v>34</v>
      </c>
    </row>
    <row r="3" spans="1:5" x14ac:dyDescent="0.3">
      <c r="A3">
        <v>1</v>
      </c>
      <c r="B3" t="s">
        <v>455</v>
      </c>
      <c r="C3" t="s">
        <v>364</v>
      </c>
      <c r="D3" t="s">
        <v>456</v>
      </c>
      <c r="E3" t="s">
        <v>34</v>
      </c>
    </row>
    <row r="4" spans="1:5" x14ac:dyDescent="0.3">
      <c r="A4">
        <v>1</v>
      </c>
      <c r="B4" t="s">
        <v>457</v>
      </c>
      <c r="C4" t="s">
        <v>364</v>
      </c>
    </row>
    <row r="5" spans="1:5" x14ac:dyDescent="0.3">
      <c r="A5">
        <v>1</v>
      </c>
      <c r="B5" t="s">
        <v>458</v>
      </c>
      <c r="C5" t="s">
        <v>364</v>
      </c>
    </row>
    <row r="6" spans="1:5" x14ac:dyDescent="0.3">
      <c r="A6">
        <v>1</v>
      </c>
      <c r="B6" t="s">
        <v>459</v>
      </c>
      <c r="C6" t="s">
        <v>364</v>
      </c>
    </row>
    <row r="7" spans="1:5" x14ac:dyDescent="0.3">
      <c r="A7">
        <v>1</v>
      </c>
      <c r="B7" t="s">
        <v>460</v>
      </c>
      <c r="C7" t="s">
        <v>364</v>
      </c>
    </row>
    <row r="8" spans="1:5" x14ac:dyDescent="0.3">
      <c r="A8">
        <v>1</v>
      </c>
      <c r="B8" t="s">
        <v>461</v>
      </c>
      <c r="C8" t="s">
        <v>364</v>
      </c>
    </row>
    <row r="9" spans="1:5" x14ac:dyDescent="0.3">
      <c r="A9">
        <v>1</v>
      </c>
      <c r="B9" t="s">
        <v>462</v>
      </c>
      <c r="C9" t="s">
        <v>364</v>
      </c>
    </row>
    <row r="10" spans="1:5" x14ac:dyDescent="0.3">
      <c r="A10">
        <v>1</v>
      </c>
      <c r="B10" t="s">
        <v>463</v>
      </c>
      <c r="C10" t="s">
        <v>364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819FD-2028-4BB3-8C8B-689E315828C9}">
  <sheetPr codeName="Sheet9">
    <tabColor rgb="FF00B050"/>
  </sheetPr>
  <dimension ref="A2:G17"/>
  <sheetViews>
    <sheetView showGridLines="0" zoomScaleNormal="100" workbookViewId="0">
      <selection activeCell="C26" sqref="C26"/>
    </sheetView>
  </sheetViews>
  <sheetFormatPr defaultRowHeight="14.4" x14ac:dyDescent="0.3"/>
  <cols>
    <col min="1" max="1" width="2.5546875" customWidth="1"/>
    <col min="2" max="2" width="3.77734375" customWidth="1"/>
    <col min="3" max="3" width="48.44140625" customWidth="1"/>
  </cols>
  <sheetData>
    <row r="2" spans="1:7" ht="12" customHeight="1" x14ac:dyDescent="0.6">
      <c r="A2" s="71"/>
    </row>
    <row r="3" spans="1:7" ht="31.2" x14ac:dyDescent="0.6">
      <c r="A3" s="71"/>
      <c r="B3" s="71" t="s">
        <v>464</v>
      </c>
      <c r="D3" s="71"/>
      <c r="G3" s="71"/>
    </row>
    <row r="7" spans="1:7" ht="21.6" thickBot="1" x14ac:dyDescent="0.45">
      <c r="B7" s="70" t="s">
        <v>465</v>
      </c>
      <c r="C7" s="62"/>
      <c r="D7" s="62"/>
      <c r="E7" s="62"/>
      <c r="F7" s="62"/>
    </row>
    <row r="8" spans="1:7" x14ac:dyDescent="0.3">
      <c r="B8">
        <v>1</v>
      </c>
      <c r="C8" s="113" t="s">
        <v>466</v>
      </c>
    </row>
    <row r="9" spans="1:7" x14ac:dyDescent="0.3">
      <c r="B9">
        <v>2</v>
      </c>
      <c r="C9" s="113" t="s">
        <v>467</v>
      </c>
    </row>
    <row r="10" spans="1:7" x14ac:dyDescent="0.3">
      <c r="B10">
        <v>3</v>
      </c>
      <c r="C10" s="113" t="s">
        <v>27</v>
      </c>
    </row>
    <row r="11" spans="1:7" x14ac:dyDescent="0.3">
      <c r="B11">
        <v>4</v>
      </c>
      <c r="C11" s="113" t="s">
        <v>54</v>
      </c>
    </row>
    <row r="12" spans="1:7" x14ac:dyDescent="0.3">
      <c r="B12">
        <v>5</v>
      </c>
      <c r="C12" s="113" t="s">
        <v>61</v>
      </c>
    </row>
    <row r="13" spans="1:7" x14ac:dyDescent="0.3">
      <c r="B13">
        <v>6</v>
      </c>
      <c r="C13" s="113" t="s">
        <v>468</v>
      </c>
    </row>
    <row r="14" spans="1:7" x14ac:dyDescent="0.3">
      <c r="B14">
        <v>7</v>
      </c>
      <c r="C14" s="113" t="s">
        <v>469</v>
      </c>
    </row>
    <row r="15" spans="1:7" x14ac:dyDescent="0.3">
      <c r="B15">
        <v>8</v>
      </c>
      <c r="C15" s="113" t="s">
        <v>470</v>
      </c>
    </row>
    <row r="16" spans="1:7" x14ac:dyDescent="0.3">
      <c r="B16">
        <v>9</v>
      </c>
      <c r="C16" s="113" t="s">
        <v>471</v>
      </c>
    </row>
    <row r="17" spans="2:6" ht="15" thickBot="1" x14ac:dyDescent="0.35">
      <c r="B17" s="62"/>
      <c r="C17" s="62"/>
      <c r="D17" s="62"/>
      <c r="E17" s="62"/>
      <c r="F17" s="62"/>
    </row>
  </sheetData>
  <sheetProtection sheet="1" objects="1" scenarios="1"/>
  <hyperlinks>
    <hyperlink ref="C8" location="'1'!A1" display="Summary" xr:uid="{F3CE8D40-CE3F-43EF-8CF3-51E9EE6073FD}"/>
    <hyperlink ref="C9" location="'2'!A1" display="Basis of reporting" xr:uid="{FC6B276E-02A2-4115-ADB6-F796503D05BE}"/>
    <hyperlink ref="C10" location="'3'!A1" display="Managed office and residential portfolio - landlord controlled" xr:uid="{16BEEBEF-EBA7-407A-9FB7-657FDFFDA1FB}"/>
    <hyperlink ref="C11" location="'4'!A1" display="Managed office portfolio - landlord controlled" xr:uid="{AE2626A3-946C-4F02-BD5B-244A7420E83D}"/>
    <hyperlink ref="C12" location="'5'!A1" display="Managed offices - whole building (landlord and occupier)" xr:uid="{3F40B5FA-93B7-4E7B-B0FB-E57151D7C7D8}"/>
    <hyperlink ref="C13" location="'6'!A1" display=" Residential - landlord controlled" xr:uid="{4F663333-818C-4171-A909-A34A0BA65C14}"/>
    <hyperlink ref="C14" location="'7'!A1" display="Corporate office" xr:uid="{56A7EE8F-2442-4F36-AB1F-E19885CC39C4}"/>
    <hyperlink ref="C15" location="'8'!A1" display="Greenhouse gas emissions summary" xr:uid="{64239A0F-D9A0-4F96-A5F0-C76D9C8E0E27}"/>
    <hyperlink ref="C16" location="'9'!A1" display="Building certifications" xr:uid="{01FB4FD8-B94D-4589-85B5-C3D40A7566B7}"/>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3C86B-70C9-4DD3-AD4D-50CC5565B37F}">
  <sheetPr codeName="Sheet10">
    <tabColor rgb="FF00B050"/>
  </sheetPr>
  <dimension ref="A2:K59"/>
  <sheetViews>
    <sheetView showGridLines="0" topLeftCell="A19" zoomScale="85" zoomScaleNormal="85" workbookViewId="0">
      <selection activeCell="F22" sqref="F22"/>
    </sheetView>
  </sheetViews>
  <sheetFormatPr defaultColWidth="9.109375" defaultRowHeight="15" customHeight="1" x14ac:dyDescent="0.3"/>
  <cols>
    <col min="1" max="1" width="3.21875" customWidth="1"/>
    <col min="2" max="2" width="34.77734375" customWidth="1"/>
    <col min="3" max="3" width="13.21875" style="6" customWidth="1"/>
    <col min="4" max="4" width="13.21875" customWidth="1"/>
    <col min="5" max="5" width="12" customWidth="1"/>
    <col min="6" max="6" width="28.77734375" customWidth="1"/>
    <col min="7" max="7" width="2" customWidth="1"/>
    <col min="8" max="8" width="22.5546875" customWidth="1"/>
    <col min="9" max="9" width="12" customWidth="1"/>
    <col min="11" max="11" width="30.44140625" customWidth="1"/>
  </cols>
  <sheetData>
    <row r="2" spans="1:11" ht="12" customHeight="1" x14ac:dyDescent="0.6">
      <c r="A2" s="71"/>
    </row>
    <row r="3" spans="1:11" ht="31.2" x14ac:dyDescent="0.6">
      <c r="A3" s="71"/>
      <c r="B3" s="71" t="s">
        <v>464</v>
      </c>
      <c r="D3" s="71"/>
      <c r="F3" s="71"/>
    </row>
    <row r="5" spans="1:11" ht="21" x14ac:dyDescent="0.4">
      <c r="B5" s="70" t="s">
        <v>466</v>
      </c>
      <c r="C5" s="666"/>
      <c r="D5" s="666"/>
      <c r="E5" s="666"/>
      <c r="F5" s="666"/>
      <c r="G5" s="666"/>
      <c r="H5" s="666"/>
      <c r="I5" s="666"/>
      <c r="J5" s="666"/>
      <c r="K5" s="666"/>
    </row>
    <row r="6" spans="1:11" ht="49.5" customHeight="1" x14ac:dyDescent="0.3">
      <c r="B6" s="414"/>
      <c r="C6" s="856" t="s">
        <v>472</v>
      </c>
      <c r="D6" s="856"/>
      <c r="E6" s="856"/>
      <c r="F6" s="856"/>
      <c r="G6" s="856"/>
      <c r="H6" s="856"/>
    </row>
    <row r="7" spans="1:11" ht="14.4" x14ac:dyDescent="0.3">
      <c r="B7" s="414"/>
      <c r="C7" s="3"/>
    </row>
    <row r="8" spans="1:11" ht="33" customHeight="1" x14ac:dyDescent="0.3">
      <c r="B8" s="414"/>
      <c r="C8" s="856" t="s">
        <v>473</v>
      </c>
      <c r="D8" s="856"/>
      <c r="E8" s="856"/>
      <c r="F8" s="856"/>
      <c r="G8" s="856"/>
      <c r="H8" s="856"/>
    </row>
    <row r="9" spans="1:11" ht="23.25" customHeight="1" x14ac:dyDescent="0.3">
      <c r="B9" s="414"/>
      <c r="C9" s="857" t="s">
        <v>474</v>
      </c>
      <c r="D9" s="857"/>
      <c r="E9" s="857"/>
      <c r="F9" s="857"/>
      <c r="G9" s="857"/>
      <c r="H9" s="857"/>
    </row>
    <row r="10" spans="1:11" ht="14.4" x14ac:dyDescent="0.3">
      <c r="B10" s="414"/>
      <c r="C10" s="3"/>
    </row>
    <row r="11" spans="1:11" ht="321.75" customHeight="1" x14ac:dyDescent="0.3">
      <c r="B11" s="414" t="s">
        <v>475</v>
      </c>
      <c r="C11" s="849" t="s">
        <v>476</v>
      </c>
      <c r="D11" s="849"/>
      <c r="E11" s="849"/>
      <c r="F11" s="849"/>
      <c r="G11" s="849"/>
      <c r="H11" s="849"/>
    </row>
    <row r="12" spans="1:11" ht="14.4" x14ac:dyDescent="0.3">
      <c r="B12" s="414"/>
      <c r="C12" s="858"/>
      <c r="D12" s="858"/>
      <c r="E12" s="858"/>
      <c r="F12" s="858"/>
      <c r="G12" s="858"/>
      <c r="H12" s="858"/>
    </row>
    <row r="13" spans="1:11" ht="381.75" customHeight="1" x14ac:dyDescent="0.3">
      <c r="B13" s="414"/>
      <c r="C13" s="851" t="s">
        <v>477</v>
      </c>
      <c r="D13" s="850"/>
      <c r="E13" s="850"/>
      <c r="F13" s="850"/>
      <c r="G13" s="850"/>
      <c r="H13" s="850"/>
    </row>
    <row r="14" spans="1:11" ht="14.4" x14ac:dyDescent="0.3">
      <c r="B14" s="414"/>
      <c r="C14" s="678"/>
    </row>
    <row r="15" spans="1:11" ht="136.5" customHeight="1" x14ac:dyDescent="0.3">
      <c r="B15" s="414"/>
      <c r="C15" s="849" t="s">
        <v>478</v>
      </c>
      <c r="D15" s="855"/>
      <c r="E15" s="855"/>
      <c r="F15" s="855"/>
      <c r="G15" s="855"/>
      <c r="H15" s="855"/>
    </row>
    <row r="16" spans="1:11" ht="14.4" x14ac:dyDescent="0.3">
      <c r="B16" s="414"/>
      <c r="C16" s="678"/>
    </row>
    <row r="17" spans="2:8" ht="102.75" customHeight="1" x14ac:dyDescent="0.3">
      <c r="B17" s="414"/>
      <c r="C17" s="849" t="s">
        <v>479</v>
      </c>
      <c r="D17" s="855"/>
      <c r="E17" s="855"/>
      <c r="F17" s="855"/>
      <c r="G17" s="855"/>
      <c r="H17" s="855"/>
    </row>
    <row r="18" spans="2:8" ht="14.4" x14ac:dyDescent="0.3">
      <c r="B18" s="414"/>
      <c r="C18" s="680"/>
    </row>
    <row r="19" spans="2:8" ht="248.25" customHeight="1" x14ac:dyDescent="0.3">
      <c r="B19" s="414"/>
      <c r="C19" s="849" t="s">
        <v>480</v>
      </c>
      <c r="D19" s="855"/>
      <c r="E19" s="855"/>
      <c r="F19" s="855"/>
      <c r="G19" s="855"/>
      <c r="H19" s="855"/>
    </row>
    <row r="20" spans="2:8" ht="14.4" x14ac:dyDescent="0.3">
      <c r="B20" s="414"/>
      <c r="C20" s="680"/>
    </row>
    <row r="21" spans="2:8" ht="173.25" customHeight="1" x14ac:dyDescent="0.3">
      <c r="B21" s="414" t="s">
        <v>481</v>
      </c>
      <c r="C21" s="851" t="s">
        <v>482</v>
      </c>
      <c r="D21" s="850"/>
      <c r="E21" s="850"/>
      <c r="F21" s="850"/>
      <c r="G21" s="850"/>
      <c r="H21" s="850"/>
    </row>
    <row r="22" spans="2:8" ht="14.4" x14ac:dyDescent="0.3">
      <c r="B22" s="414"/>
      <c r="C22" s="680"/>
      <c r="D22" s="298"/>
      <c r="E22" s="298"/>
      <c r="F22" s="298"/>
      <c r="G22" s="298"/>
      <c r="H22" s="298"/>
    </row>
    <row r="23" spans="2:8" ht="140.25" customHeight="1" x14ac:dyDescent="0.3">
      <c r="B23" s="414"/>
      <c r="C23" s="849" t="s">
        <v>483</v>
      </c>
      <c r="D23" s="849"/>
      <c r="E23" s="849"/>
      <c r="F23" s="849"/>
      <c r="G23" s="849"/>
      <c r="H23" s="849"/>
    </row>
    <row r="24" spans="2:8" ht="14.4" x14ac:dyDescent="0.3">
      <c r="B24" s="6"/>
      <c r="C24" s="680"/>
      <c r="D24" s="298"/>
      <c r="E24" s="298"/>
      <c r="F24" s="298"/>
      <c r="G24" s="298"/>
      <c r="H24" s="298"/>
    </row>
    <row r="25" spans="2:8" ht="218.25" customHeight="1" x14ac:dyDescent="0.3">
      <c r="B25" s="6"/>
      <c r="C25" s="849" t="s">
        <v>484</v>
      </c>
      <c r="D25" s="850"/>
      <c r="E25" s="850"/>
      <c r="F25" s="850"/>
      <c r="G25" s="850"/>
      <c r="H25" s="850"/>
    </row>
    <row r="26" spans="2:8" ht="14.4" x14ac:dyDescent="0.3">
      <c r="B26" s="6"/>
      <c r="C26" s="683"/>
      <c r="D26" s="298"/>
      <c r="E26" s="298"/>
      <c r="F26" s="298"/>
      <c r="G26" s="298"/>
      <c r="H26" s="298"/>
    </row>
    <row r="27" spans="2:8" ht="156.75" customHeight="1" x14ac:dyDescent="0.3">
      <c r="B27" s="6"/>
      <c r="C27" s="849" t="s">
        <v>485</v>
      </c>
      <c r="D27" s="849"/>
      <c r="E27" s="849"/>
      <c r="F27" s="849"/>
      <c r="G27" s="849"/>
      <c r="H27" s="849"/>
    </row>
    <row r="28" spans="2:8" ht="14.4" x14ac:dyDescent="0.3">
      <c r="B28" s="6"/>
      <c r="C28" s="680"/>
      <c r="D28" s="298"/>
      <c r="E28" s="298"/>
      <c r="F28" s="298"/>
      <c r="G28" s="298"/>
      <c r="H28" s="298"/>
    </row>
    <row r="29" spans="2:8" ht="135.75" customHeight="1" x14ac:dyDescent="0.3">
      <c r="B29" s="6"/>
      <c r="C29" s="849" t="s">
        <v>486</v>
      </c>
      <c r="D29" s="849"/>
      <c r="E29" s="849"/>
      <c r="F29" s="849"/>
      <c r="G29" s="849"/>
      <c r="H29" s="849"/>
    </row>
    <row r="30" spans="2:8" ht="49.5" customHeight="1" x14ac:dyDescent="0.3">
      <c r="B30" s="679"/>
      <c r="C30" s="853" t="s">
        <v>487</v>
      </c>
      <c r="D30" s="853"/>
      <c r="E30" s="853"/>
      <c r="F30" s="853"/>
      <c r="G30" s="853"/>
      <c r="H30" s="853"/>
    </row>
    <row r="31" spans="2:8" ht="15.75" customHeight="1" x14ac:dyDescent="0.3">
      <c r="B31" s="681"/>
      <c r="C31" s="854" t="s">
        <v>488</v>
      </c>
      <c r="D31" s="854"/>
      <c r="E31" s="854"/>
      <c r="F31" s="854"/>
      <c r="G31" s="854"/>
      <c r="H31" s="854"/>
    </row>
    <row r="32" spans="2:8" ht="14.4" x14ac:dyDescent="0.3">
      <c r="B32" s="62"/>
      <c r="C32" s="670"/>
      <c r="D32" s="682"/>
      <c r="E32" s="682"/>
      <c r="F32" s="682"/>
      <c r="G32" s="682"/>
      <c r="H32" s="682"/>
    </row>
    <row r="35" spans="2:11" ht="21" x14ac:dyDescent="0.4">
      <c r="B35" s="671" t="s">
        <v>489</v>
      </c>
      <c r="C35" s="666"/>
      <c r="D35" s="73"/>
    </row>
    <row r="36" spans="2:11" ht="14.25" customHeight="1" x14ac:dyDescent="0.3">
      <c r="B36" s="672" t="s">
        <v>490</v>
      </c>
      <c r="C36" s="852" t="s">
        <v>491</v>
      </c>
      <c r="D36" s="852"/>
      <c r="E36" s="852"/>
      <c r="G36" s="673"/>
      <c r="H36" s="852" t="s">
        <v>492</v>
      </c>
      <c r="I36" s="852"/>
      <c r="J36" s="852"/>
      <c r="K36" s="852"/>
    </row>
    <row r="37" spans="2:11" ht="14.25" customHeight="1" x14ac:dyDescent="0.3">
      <c r="B37" s="674" t="s">
        <v>493</v>
      </c>
      <c r="C37" s="675" t="s">
        <v>494</v>
      </c>
      <c r="D37" s="676" t="s">
        <v>495</v>
      </c>
      <c r="E37" s="676" t="s">
        <v>496</v>
      </c>
      <c r="F37" s="676" t="s">
        <v>468</v>
      </c>
      <c r="G37" s="676"/>
      <c r="H37" s="675" t="s">
        <v>494</v>
      </c>
      <c r="I37" s="676" t="s">
        <v>495</v>
      </c>
      <c r="J37" s="676" t="s">
        <v>496</v>
      </c>
      <c r="K37" s="676" t="s">
        <v>468</v>
      </c>
    </row>
    <row r="38" spans="2:11" ht="14.25" customHeight="1" x14ac:dyDescent="0.3">
      <c r="B38" s="3" t="s">
        <v>497</v>
      </c>
      <c r="C38" s="809" t="s">
        <v>364</v>
      </c>
      <c r="D38" s="809" t="s">
        <v>364</v>
      </c>
      <c r="E38" s="809" t="s">
        <v>364</v>
      </c>
      <c r="F38" s="785" t="s">
        <v>498</v>
      </c>
      <c r="G38" s="677"/>
      <c r="H38" s="808" t="s">
        <v>364</v>
      </c>
      <c r="I38" s="413" t="s">
        <v>364</v>
      </c>
      <c r="J38" s="413" t="s">
        <v>364</v>
      </c>
      <c r="K38" s="785" t="s">
        <v>498</v>
      </c>
    </row>
    <row r="39" spans="2:11" ht="14.25" customHeight="1" x14ac:dyDescent="0.3">
      <c r="B39" s="3" t="s">
        <v>499</v>
      </c>
      <c r="C39" s="809" t="s">
        <v>364</v>
      </c>
      <c r="D39" s="809" t="s">
        <v>364</v>
      </c>
      <c r="E39" s="809" t="s">
        <v>364</v>
      </c>
      <c r="F39" s="785" t="s">
        <v>498</v>
      </c>
      <c r="G39" s="677"/>
      <c r="H39" s="808" t="s">
        <v>364</v>
      </c>
      <c r="I39" s="413" t="s">
        <v>364</v>
      </c>
      <c r="J39" s="413" t="s">
        <v>364</v>
      </c>
      <c r="K39" s="785" t="s">
        <v>498</v>
      </c>
    </row>
    <row r="40" spans="2:11" ht="14.25" customHeight="1" x14ac:dyDescent="0.3">
      <c r="B40" s="3" t="s">
        <v>500</v>
      </c>
      <c r="C40" s="809" t="s">
        <v>364</v>
      </c>
      <c r="D40" s="809" t="s">
        <v>364</v>
      </c>
      <c r="E40" s="809" t="s">
        <v>364</v>
      </c>
      <c r="F40" s="785" t="s">
        <v>498</v>
      </c>
      <c r="G40" s="677"/>
      <c r="H40" s="808" t="s">
        <v>364</v>
      </c>
      <c r="I40" s="413" t="s">
        <v>364</v>
      </c>
      <c r="J40" s="413" t="s">
        <v>364</v>
      </c>
      <c r="K40" s="785" t="s">
        <v>498</v>
      </c>
    </row>
    <row r="41" spans="2:11" ht="14.25" customHeight="1" x14ac:dyDescent="0.3">
      <c r="B41" s="3" t="s">
        <v>501</v>
      </c>
      <c r="C41" s="809" t="s">
        <v>364</v>
      </c>
      <c r="D41" s="809" t="s">
        <v>364</v>
      </c>
      <c r="E41" s="809" t="s">
        <v>364</v>
      </c>
      <c r="F41" s="785" t="s">
        <v>498</v>
      </c>
      <c r="G41" s="677"/>
      <c r="H41" s="808" t="s">
        <v>364</v>
      </c>
      <c r="I41" s="413" t="s">
        <v>364</v>
      </c>
      <c r="J41" s="413" t="s">
        <v>364</v>
      </c>
      <c r="K41" s="785" t="s">
        <v>498</v>
      </c>
    </row>
    <row r="42" spans="2:11" ht="14.25" customHeight="1" x14ac:dyDescent="0.3">
      <c r="B42" s="3" t="s">
        <v>453</v>
      </c>
      <c r="C42" s="809" t="s">
        <v>364</v>
      </c>
      <c r="D42" s="809" t="s">
        <v>364</v>
      </c>
      <c r="E42" s="809" t="s">
        <v>364</v>
      </c>
      <c r="F42" s="785" t="s">
        <v>498</v>
      </c>
      <c r="G42" s="677"/>
      <c r="H42" s="808" t="s">
        <v>364</v>
      </c>
      <c r="I42" s="413" t="s">
        <v>364</v>
      </c>
      <c r="J42" s="413" t="s">
        <v>364</v>
      </c>
      <c r="K42" s="785" t="s">
        <v>498</v>
      </c>
    </row>
    <row r="43" spans="2:11" ht="14.25" customHeight="1" x14ac:dyDescent="0.3">
      <c r="B43" s="3" t="s">
        <v>502</v>
      </c>
      <c r="C43" s="809" t="s">
        <v>364</v>
      </c>
      <c r="D43" s="809" t="s">
        <v>364</v>
      </c>
      <c r="E43" s="809" t="s">
        <v>364</v>
      </c>
      <c r="F43" s="785" t="s">
        <v>498</v>
      </c>
      <c r="G43" s="677"/>
      <c r="H43" s="808" t="s">
        <v>364</v>
      </c>
      <c r="I43" s="413" t="s">
        <v>364</v>
      </c>
      <c r="J43" s="413" t="s">
        <v>364</v>
      </c>
      <c r="K43" s="785" t="s">
        <v>498</v>
      </c>
    </row>
    <row r="44" spans="2:11" ht="14.25" customHeight="1" x14ac:dyDescent="0.3">
      <c r="B44" s="3" t="s">
        <v>461</v>
      </c>
      <c r="C44" s="809" t="s">
        <v>364</v>
      </c>
      <c r="D44" s="809" t="s">
        <v>364</v>
      </c>
      <c r="E44" s="809" t="s">
        <v>364</v>
      </c>
      <c r="F44" s="785" t="s">
        <v>498</v>
      </c>
      <c r="G44" s="677"/>
      <c r="H44" s="808" t="s">
        <v>364</v>
      </c>
      <c r="I44" s="413" t="s">
        <v>364</v>
      </c>
      <c r="J44" s="413" t="s">
        <v>364</v>
      </c>
      <c r="K44" s="785" t="s">
        <v>498</v>
      </c>
    </row>
    <row r="45" spans="2:11" ht="14.25" customHeight="1" x14ac:dyDescent="0.3">
      <c r="B45" s="3" t="s">
        <v>503</v>
      </c>
      <c r="C45" s="809" t="s">
        <v>364</v>
      </c>
      <c r="D45" s="809" t="s">
        <v>364</v>
      </c>
      <c r="E45" s="809" t="s">
        <v>364</v>
      </c>
      <c r="F45" s="785" t="s">
        <v>498</v>
      </c>
      <c r="G45" s="677"/>
      <c r="H45" s="808" t="s">
        <v>364</v>
      </c>
      <c r="I45" s="413" t="s">
        <v>364</v>
      </c>
      <c r="J45" s="413" t="s">
        <v>364</v>
      </c>
      <c r="K45" s="785" t="s">
        <v>498</v>
      </c>
    </row>
    <row r="46" spans="2:11" ht="14.25" customHeight="1" x14ac:dyDescent="0.3">
      <c r="B46" s="3" t="s">
        <v>504</v>
      </c>
      <c r="C46" s="809" t="s">
        <v>505</v>
      </c>
      <c r="D46" s="809" t="s">
        <v>505</v>
      </c>
      <c r="E46" s="809" t="s">
        <v>505</v>
      </c>
      <c r="F46" t="s">
        <v>505</v>
      </c>
      <c r="G46" s="677"/>
      <c r="H46" s="808" t="s">
        <v>364</v>
      </c>
      <c r="I46" s="413" t="s">
        <v>364</v>
      </c>
      <c r="J46" s="413" t="s">
        <v>364</v>
      </c>
      <c r="K46" s="785" t="s">
        <v>498</v>
      </c>
    </row>
    <row r="47" spans="2:11" ht="14.25" customHeight="1" x14ac:dyDescent="0.3">
      <c r="B47" s="668" t="s">
        <v>506</v>
      </c>
      <c r="C47" s="415"/>
      <c r="D47" s="74"/>
      <c r="E47" s="74"/>
      <c r="G47" s="507"/>
      <c r="H47" s="808"/>
      <c r="I47" s="413"/>
      <c r="J47" s="413"/>
    </row>
    <row r="48" spans="2:11" ht="14.25" customHeight="1" x14ac:dyDescent="0.3">
      <c r="B48" s="3" t="s">
        <v>507</v>
      </c>
      <c r="C48" s="74" t="s">
        <v>364</v>
      </c>
      <c r="D48" s="74" t="s">
        <v>364</v>
      </c>
      <c r="E48" s="74" t="s">
        <v>364</v>
      </c>
      <c r="F48" s="785" t="s">
        <v>508</v>
      </c>
      <c r="G48" s="507"/>
      <c r="H48" s="808" t="s">
        <v>364</v>
      </c>
      <c r="I48" s="413" t="s">
        <v>364</v>
      </c>
      <c r="J48" s="413" t="s">
        <v>364</v>
      </c>
      <c r="K48" s="785" t="s">
        <v>508</v>
      </c>
    </row>
    <row r="49" spans="2:11" ht="14.25" customHeight="1" x14ac:dyDescent="0.3">
      <c r="B49" s="3" t="s">
        <v>509</v>
      </c>
      <c r="C49" s="74" t="s">
        <v>364</v>
      </c>
      <c r="D49" s="74" t="s">
        <v>364</v>
      </c>
      <c r="E49" s="74" t="s">
        <v>364</v>
      </c>
      <c r="F49" s="785" t="s">
        <v>510</v>
      </c>
      <c r="G49" s="507"/>
      <c r="H49" s="808" t="s">
        <v>364</v>
      </c>
      <c r="I49" s="413" t="s">
        <v>364</v>
      </c>
      <c r="J49" s="413" t="s">
        <v>364</v>
      </c>
      <c r="K49" s="785" t="s">
        <v>510</v>
      </c>
    </row>
    <row r="50" spans="2:11" ht="14.25" customHeight="1" x14ac:dyDescent="0.3">
      <c r="B50" s="3" t="s">
        <v>454</v>
      </c>
      <c r="C50" s="74" t="s">
        <v>364</v>
      </c>
      <c r="D50" s="74" t="s">
        <v>364</v>
      </c>
      <c r="E50" s="74" t="s">
        <v>364</v>
      </c>
      <c r="F50" s="785" t="s">
        <v>510</v>
      </c>
      <c r="G50" s="507"/>
      <c r="H50" s="808" t="s">
        <v>364</v>
      </c>
      <c r="I50" s="413" t="s">
        <v>364</v>
      </c>
      <c r="J50" s="413" t="s">
        <v>364</v>
      </c>
      <c r="K50" s="785" t="s">
        <v>510</v>
      </c>
    </row>
    <row r="51" spans="2:11" ht="14.25" customHeight="1" x14ac:dyDescent="0.3">
      <c r="B51" s="668" t="s">
        <v>511</v>
      </c>
      <c r="C51" s="810"/>
      <c r="D51" s="74"/>
      <c r="E51" s="74"/>
      <c r="G51" s="507"/>
      <c r="H51" s="808"/>
      <c r="I51" s="413"/>
      <c r="J51" s="413"/>
    </row>
    <row r="52" spans="2:11" ht="14.25" customHeight="1" x14ac:dyDescent="0.3">
      <c r="B52" s="3" t="s">
        <v>512</v>
      </c>
      <c r="C52" s="74" t="s">
        <v>364</v>
      </c>
      <c r="D52" s="74" t="s">
        <v>364</v>
      </c>
      <c r="E52" s="74" t="s">
        <v>364</v>
      </c>
      <c r="F52" t="s">
        <v>513</v>
      </c>
      <c r="G52" s="507"/>
      <c r="H52" s="808" t="s">
        <v>364</v>
      </c>
      <c r="I52" s="413" t="s">
        <v>364</v>
      </c>
      <c r="J52" s="413" t="s">
        <v>364</v>
      </c>
      <c r="K52" t="s">
        <v>513</v>
      </c>
    </row>
    <row r="53" spans="2:11" ht="14.25" customHeight="1" x14ac:dyDescent="0.3">
      <c r="B53" s="3" t="s">
        <v>514</v>
      </c>
      <c r="C53" s="74" t="s">
        <v>364</v>
      </c>
      <c r="D53" s="74" t="s">
        <v>505</v>
      </c>
      <c r="E53" s="74" t="s">
        <v>364</v>
      </c>
      <c r="F53" t="s">
        <v>513</v>
      </c>
      <c r="G53" s="507"/>
      <c r="H53" s="808" t="s">
        <v>364</v>
      </c>
      <c r="I53" s="413" t="s">
        <v>505</v>
      </c>
      <c r="J53" s="413" t="s">
        <v>364</v>
      </c>
      <c r="K53" t="s">
        <v>513</v>
      </c>
    </row>
    <row r="54" spans="2:11" ht="14.25" customHeight="1" x14ac:dyDescent="0.3">
      <c r="B54" s="3" t="s">
        <v>515</v>
      </c>
      <c r="C54" s="74" t="s">
        <v>364</v>
      </c>
      <c r="D54" s="74" t="s">
        <v>505</v>
      </c>
      <c r="E54" s="74" t="s">
        <v>364</v>
      </c>
      <c r="F54" t="s">
        <v>513</v>
      </c>
      <c r="G54" s="507"/>
      <c r="H54" s="808" t="s">
        <v>364</v>
      </c>
      <c r="I54" s="413" t="s">
        <v>364</v>
      </c>
      <c r="J54" s="413" t="s">
        <v>505</v>
      </c>
      <c r="K54" t="s">
        <v>513</v>
      </c>
    </row>
    <row r="55" spans="2:11" ht="14.25" customHeight="1" x14ac:dyDescent="0.3">
      <c r="B55" s="3" t="s">
        <v>516</v>
      </c>
      <c r="C55" s="74" t="s">
        <v>364</v>
      </c>
      <c r="D55" s="74" t="s">
        <v>364</v>
      </c>
      <c r="E55" s="74" t="s">
        <v>364</v>
      </c>
      <c r="F55" t="s">
        <v>513</v>
      </c>
      <c r="G55" s="507"/>
      <c r="H55" s="808" t="s">
        <v>364</v>
      </c>
      <c r="I55" s="413" t="s">
        <v>364</v>
      </c>
      <c r="J55" s="413" t="s">
        <v>364</v>
      </c>
      <c r="K55" t="s">
        <v>513</v>
      </c>
    </row>
    <row r="56" spans="2:11" ht="14.25" customHeight="1" x14ac:dyDescent="0.3">
      <c r="B56" s="3" t="s">
        <v>517</v>
      </c>
      <c r="C56" s="74" t="s">
        <v>364</v>
      </c>
      <c r="D56" s="74" t="s">
        <v>364</v>
      </c>
      <c r="E56" s="74" t="s">
        <v>505</v>
      </c>
      <c r="F56" t="s">
        <v>513</v>
      </c>
      <c r="G56" s="507"/>
      <c r="H56" s="808" t="s">
        <v>364</v>
      </c>
      <c r="I56" s="413" t="s">
        <v>505</v>
      </c>
      <c r="J56" s="413" t="s">
        <v>505</v>
      </c>
      <c r="K56" t="s">
        <v>513</v>
      </c>
    </row>
    <row r="57" spans="2:11" ht="14.25" customHeight="1" x14ac:dyDescent="0.3">
      <c r="B57" s="3" t="s">
        <v>518</v>
      </c>
      <c r="C57" s="74" t="s">
        <v>364</v>
      </c>
      <c r="D57" s="74" t="s">
        <v>505</v>
      </c>
      <c r="E57" s="74" t="s">
        <v>505</v>
      </c>
      <c r="F57" t="s">
        <v>513</v>
      </c>
      <c r="G57" s="507"/>
      <c r="H57" s="808" t="s">
        <v>364</v>
      </c>
      <c r="I57" s="413" t="s">
        <v>364</v>
      </c>
      <c r="J57" s="413" t="s">
        <v>505</v>
      </c>
      <c r="K57" t="s">
        <v>513</v>
      </c>
    </row>
    <row r="58" spans="2:11" ht="14.25" customHeight="1" x14ac:dyDescent="0.3">
      <c r="B58" s="3" t="s">
        <v>519</v>
      </c>
      <c r="C58" s="74" t="s">
        <v>505</v>
      </c>
      <c r="D58" s="74" t="s">
        <v>505</v>
      </c>
      <c r="E58" s="74" t="s">
        <v>505</v>
      </c>
      <c r="F58" t="s">
        <v>513</v>
      </c>
      <c r="G58" s="507"/>
      <c r="H58" s="808" t="s">
        <v>505</v>
      </c>
      <c r="I58" s="413" t="s">
        <v>505</v>
      </c>
      <c r="J58" s="413" t="s">
        <v>505</v>
      </c>
      <c r="K58" t="s">
        <v>513</v>
      </c>
    </row>
    <row r="59" spans="2:11" ht="14.4" x14ac:dyDescent="0.3"/>
  </sheetData>
  <sheetProtection sheet="1" objects="1" scenarios="1"/>
  <mergeCells count="18">
    <mergeCell ref="C6:H6"/>
    <mergeCell ref="C8:H8"/>
    <mergeCell ref="C9:H9"/>
    <mergeCell ref="C11:H11"/>
    <mergeCell ref="C12:H12"/>
    <mergeCell ref="C23:H23"/>
    <mergeCell ref="C25:H25"/>
    <mergeCell ref="C13:H13"/>
    <mergeCell ref="C36:E36"/>
    <mergeCell ref="C27:H27"/>
    <mergeCell ref="C29:H29"/>
    <mergeCell ref="C30:H30"/>
    <mergeCell ref="C31:H31"/>
    <mergeCell ref="C15:H15"/>
    <mergeCell ref="C17:H17"/>
    <mergeCell ref="C19:H19"/>
    <mergeCell ref="C21:H21"/>
    <mergeCell ref="H36:K36"/>
  </mergeCells>
  <dataValidations count="2">
    <dataValidation allowBlank="1" showInputMessage="1" showErrorMessage="1" sqref="G38:G58" xr:uid="{0E33B3E3-6135-4D28-83AD-C69C081BEC0A}"/>
    <dataValidation type="list" allowBlank="1" showInputMessage="1" showErrorMessage="1" sqref="C38:E58 H38:J58" xr:uid="{5535F5FE-4C6E-439A-AC1A-3508769B22B6}">
      <formula1>"Yes,No"</formula1>
    </dataValidation>
  </dataValidations>
  <hyperlinks>
    <hyperlink ref="C31" r:id="rId1" xr:uid="{7C0C7EE4-F1F5-4DED-9DFF-8E3BD6813414}"/>
    <hyperlink ref="C9" r:id="rId2" xr:uid="{460447DD-CC74-4B3F-9584-5B2AD8CF2E1F}"/>
  </hyperlinks>
  <pageMargins left="0.7" right="0.7" top="0.75" bottom="0.75" header="0.3" footer="0.3"/>
  <pageSetup paperSize="9" orientation="portrait" horizontalDpi="4294967293"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17b33b-47d3-494f-a542-437dfe07962a">
      <Terms xmlns="http://schemas.microsoft.com/office/infopath/2007/PartnerControls"/>
    </lcf76f155ced4ddcb4097134ff3c332f>
    <TaxCatchAll xmlns="87bdd66f-026f-4c23-8eab-be55c2855fdb" xsi:nil="true"/>
    <ReportType xmlns="f817b33b-47d3-494f-a542-437dfe07962a" xsi:nil="true"/>
    <Year xmlns="87bdd66f-026f-4c23-8eab-be55c2855fdb" xsi:nil="true"/>
    <From1 xmlns="87bdd66f-026f-4c23-8eab-be55c2855fdb" xsi:nil="true"/>
    <Email_x0020_Subject xmlns="87bdd66f-026f-4c23-8eab-be55c2855fdb" xsi:nil="true"/>
    <EmailDate xmlns="87bdd66f-026f-4c23-8eab-be55c2855fdb" xsi:nil="true"/>
    <To xmlns="87bdd66f-026f-4c23-8eab-be55c2855f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870D23603D9E4CA05F475BD32C5878" ma:contentTypeVersion="26" ma:contentTypeDescription="Create a new document." ma:contentTypeScope="" ma:versionID="01cb9ad62ef0481dad31e20dcf91dd8a">
  <xsd:schema xmlns:xsd="http://www.w3.org/2001/XMLSchema" xmlns:xs="http://www.w3.org/2001/XMLSchema" xmlns:p="http://schemas.microsoft.com/office/2006/metadata/properties" xmlns:ns2="f817b33b-47d3-494f-a542-437dfe07962a" xmlns:ns3="87bdd66f-026f-4c23-8eab-be55c2855fdb" xmlns:ns4="48d1a8fa-9d4a-4a93-ac8c-dfb1a790b9ee" targetNamespace="http://schemas.microsoft.com/office/2006/metadata/properties" ma:root="true" ma:fieldsID="5aeb4b12bfe9fd658fa83d9821317334" ns2:_="" ns3:_="" ns4:_="">
    <xsd:import namespace="f817b33b-47d3-494f-a542-437dfe07962a"/>
    <xsd:import namespace="87bdd66f-026f-4c23-8eab-be55c2855fdb"/>
    <xsd:import namespace="48d1a8fa-9d4a-4a93-ac8c-dfb1a790b9ee"/>
    <xsd:element name="properties">
      <xsd:complexType>
        <xsd:sequence>
          <xsd:element name="documentManagement">
            <xsd:complexType>
              <xsd:all>
                <xsd:element ref="ns2:ReportType" minOccurs="0"/>
                <xsd:element ref="ns3:Year" minOccurs="0"/>
                <xsd:element ref="ns3:From1" minOccurs="0"/>
                <xsd:element ref="ns3:To" minOccurs="0"/>
                <xsd:element ref="ns3:Email_x0020_Subject" minOccurs="0"/>
                <xsd:element ref="ns3:EmailDate" minOccurs="0"/>
                <xsd:element ref="ns2:MediaServiceMetadata" minOccurs="0"/>
                <xsd:element ref="ns2:MediaServiceFastMetadata" minOccurs="0"/>
                <xsd:element ref="ns2:MediaServiceAutoKeyPoints" minOccurs="0"/>
                <xsd:element ref="ns2:MediaServiceKeyPoints" minOccurs="0"/>
                <xsd:element ref="ns4:SharedWithUsers" minOccurs="0"/>
                <xsd:element ref="ns4: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7b33b-47d3-494f-a542-437dfe07962a" elementFormDefault="qualified">
    <xsd:import namespace="http://schemas.microsoft.com/office/2006/documentManagement/types"/>
    <xsd:import namespace="http://schemas.microsoft.com/office/infopath/2007/PartnerControls"/>
    <xsd:element name="ReportType" ma:index="2" nillable="true" ma:displayName="Report Type" ma:indexed="true" ma:list="{d7eeb91c-a33f-442e-bc4f-9a0f52b280a8}" ma:internalName="ReportType" ma:readOnly="false" ma:showField="Title">
      <xsd:simpleType>
        <xsd:restriction base="dms:Lookup"/>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a18ad33c-84ad-4ca3-a40f-9be31f1174bd" ma:termSetId="09814cd3-568e-fe90-9814-8d621ff8fb84" ma:anchorId="fba54fb3-c3e1-fe81-a776-ca4b69148c4d" ma:open="true" ma:isKeyword="false">
      <xsd:complexType>
        <xsd:sequence>
          <xsd:element ref="pc:Terms" minOccurs="0" maxOccurs="1"/>
        </xsd:sequence>
      </xsd:complexType>
    </xsd:element>
    <xsd:element name="MediaLengthInSeconds" ma:index="28" nillable="true" ma:displayName="MediaLengthInSeconds" ma:hidden="true" ma:internalName="MediaLengthInSeconds" ma:readOnly="true">
      <xsd:simpleType>
        <xsd:restriction base="dms:Unknown"/>
      </xsd:simpleType>
    </xsd:element>
    <xsd:element name="MediaServiceLocation" ma:index="29" nillable="true" ma:displayName="Location" ma:indexed="true" ma:internalName="MediaServiceLocation" ma:readOnly="true">
      <xsd:simpleType>
        <xsd:restriction base="dms:Text"/>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bdd66f-026f-4c23-8eab-be55c2855fdb" elementFormDefault="qualified">
    <xsd:import namespace="http://schemas.microsoft.com/office/2006/documentManagement/types"/>
    <xsd:import namespace="http://schemas.microsoft.com/office/infopath/2007/PartnerControls"/>
    <xsd:element name="Year" ma:index="3" nillable="true" ma:displayName="Year" ma:format="Dropdown" ma:internalName="Year">
      <xsd:simpleType>
        <xsd:restriction base="dms:Choice">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Pre-2015"/>
        </xsd:restriction>
      </xsd:simpleType>
    </xsd:element>
    <xsd:element name="From1" ma:index="4" nillable="true" ma:displayName="From" ma:internalName="From1">
      <xsd:simpleType>
        <xsd:restriction base="dms:Text">
          <xsd:maxLength value="255"/>
        </xsd:restriction>
      </xsd:simpleType>
    </xsd:element>
    <xsd:element name="To" ma:index="5" nillable="true" ma:displayName="To" ma:internalName="To">
      <xsd:simpleType>
        <xsd:restriction base="dms:Note">
          <xsd:maxLength value="255"/>
        </xsd:restriction>
      </xsd:simpleType>
    </xsd:element>
    <xsd:element name="Email_x0020_Subject" ma:index="6" nillable="true" ma:displayName="Email Subject" ma:internalName="Email_x0020_Subject">
      <xsd:simpleType>
        <xsd:restriction base="dms:Text">
          <xsd:maxLength value="255"/>
        </xsd:restriction>
      </xsd:simpleType>
    </xsd:element>
    <xsd:element name="EmailDate" ma:index="7" nillable="true" ma:displayName="Email Date" ma:format="DateTime" ma:internalName="EmailDate">
      <xsd:simpleType>
        <xsd:restriction base="dms:DateTime"/>
      </xsd:simpleType>
    </xsd:element>
    <xsd:element name="TaxCatchAll" ma:index="27" nillable="true" ma:displayName="Taxonomy Catch All Column" ma:hidden="true" ma:list="{5cd87c7a-9e03-4715-ae64-0df77fc4bb44}" ma:internalName="TaxCatchAll" ma:showField="CatchAllData" ma:web="87bdd66f-026f-4c23-8eab-be55c2855fd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d1a8fa-9d4a-4a93-ac8c-dfb1a790b9e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2AB16-F11D-4C59-9240-024667EBB488}">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dcmitype/"/>
    <ds:schemaRef ds:uri="http://www.w3.org/XML/1998/namespace"/>
    <ds:schemaRef ds:uri="f817b33b-47d3-494f-a542-437dfe07962a"/>
    <ds:schemaRef ds:uri="http://schemas.microsoft.com/office/infopath/2007/PartnerControls"/>
    <ds:schemaRef ds:uri="48d1a8fa-9d4a-4a93-ac8c-dfb1a790b9ee"/>
    <ds:schemaRef ds:uri="87bdd66f-026f-4c23-8eab-be55c2855fdb"/>
  </ds:schemaRefs>
</ds:datastoreItem>
</file>

<file path=customXml/itemProps2.xml><?xml version="1.0" encoding="utf-8"?>
<ds:datastoreItem xmlns:ds="http://schemas.openxmlformats.org/officeDocument/2006/customXml" ds:itemID="{B9188BAF-7F8F-4C62-8B09-1EB8607A4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7b33b-47d3-494f-a542-437dfe07962a"/>
    <ds:schemaRef ds:uri="87bdd66f-026f-4c23-8eab-be55c2855fdb"/>
    <ds:schemaRef ds:uri="48d1a8fa-9d4a-4a93-ac8c-dfb1a790b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9A1743-33AC-4240-869A-D1D2218032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4</vt:i4>
      </vt:variant>
    </vt:vector>
  </HeadingPairs>
  <TitlesOfParts>
    <vt:vector size="47" baseType="lpstr">
      <vt:lpstr>Tracker</vt:lpstr>
      <vt:lpstr>Flow</vt:lpstr>
      <vt:lpstr>Lists</vt:lpstr>
      <vt:lpstr>S&amp;G 2025</vt:lpstr>
      <vt:lpstr>S&amp;G Emp</vt:lpstr>
      <vt:lpstr>Diversity Employee Age Distribu</vt:lpstr>
      <vt:lpstr>H&amp;S Audits List Assets</vt:lpstr>
      <vt:lpstr>Contents</vt:lpstr>
      <vt:lpstr>1</vt:lpstr>
      <vt:lpstr>2</vt:lpstr>
      <vt:lpstr>3</vt:lpstr>
      <vt:lpstr>4</vt:lpstr>
      <vt:lpstr>5</vt:lpstr>
      <vt:lpstr>6</vt:lpstr>
      <vt:lpstr>7</vt:lpstr>
      <vt:lpstr>8</vt:lpstr>
      <vt:lpstr>9</vt:lpstr>
      <vt:lpstr>Areas </vt:lpstr>
      <vt:lpstr>2024 Asset list</vt:lpstr>
      <vt:lpstr>2025 VSME Data</vt:lpstr>
      <vt:lpstr>2025 GRESB</vt:lpstr>
      <vt:lpstr>Emissions 2025</vt:lpstr>
      <vt:lpstr>Emissions 2024</vt:lpstr>
      <vt:lpstr>Water 2024</vt:lpstr>
      <vt:lpstr>Waste 2024</vt:lpstr>
      <vt:lpstr>2025 Electricity (2)</vt:lpstr>
      <vt:lpstr>Gas 2024</vt:lpstr>
      <vt:lpstr>2024 GAS EUI estimates </vt:lpstr>
      <vt:lpstr>Gas Building Totals 2025</vt:lpstr>
      <vt:lpstr>2025 Raw Water</vt:lpstr>
      <vt:lpstr>Detail1</vt:lpstr>
      <vt:lpstr>All building EUI</vt:lpstr>
      <vt:lpstr>2025 Water Data Est.</vt:lpstr>
      <vt:lpstr>2025 Asset list </vt:lpstr>
      <vt:lpstr>UPDATED WASTE DATA 2025</vt:lpstr>
      <vt:lpstr>Electricity 2024</vt:lpstr>
      <vt:lpstr>2024 IEA CO2e Conversion Factor</vt:lpstr>
      <vt:lpstr>Target EUI</vt:lpstr>
      <vt:lpstr>TCFD savings 2025</vt:lpstr>
      <vt:lpstr>Supplier Due Diligence</vt:lpstr>
      <vt:lpstr>List of H&amp;W initiatives 2025</vt:lpstr>
      <vt:lpstr>List of H&amp;W initiatives 2024</vt:lpstr>
      <vt:lpstr>GRESB 2024</vt:lpstr>
      <vt:lpstr>AmountOfWaterWithdrawnAtSitesLocatedInAreasOfHighWaterStress</vt:lpstr>
      <vt:lpstr>'Emissions 2024'!Print_Titles</vt:lpstr>
      <vt:lpstr>TotalAmountOfWaterWithdrawnFromAllSites</vt:lpstr>
      <vt:lpstr>UndertakingAppliesCircularEconomyPrinciples</vt:lpstr>
    </vt:vector>
  </TitlesOfParts>
  <Manager/>
  <Company>Jones Lang LaSalle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Platais, Robbie</dc:creator>
  <cp:keywords/>
  <dc:description/>
  <cp:lastModifiedBy>Hannah O' Keeffe</cp:lastModifiedBy>
  <cp:revision/>
  <dcterms:created xsi:type="dcterms:W3CDTF">2024-01-11T11:37:26Z</dcterms:created>
  <dcterms:modified xsi:type="dcterms:W3CDTF">2026-07-14T11:52:50Z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0x010100AA870D23603D9E4CA05F475BD32C5878</vt:lpwstr>
  </property>
  <property fmtid="{D5CDD505-2E9C-101B-9397-08002B2CF9AE}" pid="3" name="MediaServiceImageTags">
    <vt:lpwstr/>
  </property>
</Properties>
</file>